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udv" sheetId="1" r:id="rId1"/>
    <sheet name="Ark2" sheetId="2" r:id="rId2"/>
    <sheet name="NPV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6" authorId="0">
      <text>
        <r>
          <rPr>
            <sz val="10"/>
            <rFont val="Arial"/>
            <family val="2"/>
          </rPr>
          <t xml:space="preserve">Baseret på at de 5 brønde fra vinter 2010-11 alle gav IP30  5-15% over det i præsentationer opstillede. 
Hvis disse forhåndsforventninger er sobre bør det give mindst 99% sandsynlighed for et snit over 1400 Mcf/d </t>
        </r>
      </text>
    </comment>
    <comment ref="D38" authorId="0">
      <text>
        <r>
          <rPr>
            <sz val="10"/>
            <rFont val="Arial"/>
            <family val="2"/>
          </rPr>
          <t>Selv om NEC angiver at hver af de to rigge kan klare 2 brønde pr. måned har jeg fastholdt at det i praksis går en smule langsommere, hvilket er i bedre overensstemmelse med at NEC regner med en omkostning på 1,35 mio.$ pr. brønd, selv om det tidligere har fremgået at den udnyttelse snarere betyder en omkostning på 0,9 mio.$ pr. brønd</t>
        </r>
      </text>
    </comment>
    <comment ref="F39" authorId="0">
      <text>
        <r>
          <rPr>
            <sz val="10"/>
            <rFont val="Arial"/>
            <family val="2"/>
          </rPr>
          <t xml:space="preserve">Nedsat. Tallet mindre end de har kunnet producere, da de har været bremset for at kunne måle IP30 på de nye brønde. </t>
        </r>
      </text>
    </comment>
    <comment ref="E41" authorId="0">
      <text>
        <r>
          <rPr>
            <sz val="10"/>
            <rFont val="Arial"/>
            <family val="2"/>
          </rPr>
          <t>Regnet 50% til NEC</t>
        </r>
      </text>
    </comment>
    <comment ref="E42" authorId="0">
      <text>
        <r>
          <rPr>
            <sz val="10"/>
            <rFont val="Arial"/>
            <family val="2"/>
          </rPr>
          <t>Regnet 50% til NEC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rFont val="Arial"/>
            <family val="2"/>
          </rPr>
          <t>Lige før bondbetaling</t>
        </r>
      </text>
    </comment>
  </commentList>
</comments>
</file>

<file path=xl/sharedStrings.xml><?xml version="1.0" encoding="utf-8"?>
<sst xmlns="http://schemas.openxmlformats.org/spreadsheetml/2006/main" count="258" uniqueCount="186">
  <si>
    <r>
      <t xml:space="preserve">revideret efter præsentation </t>
    </r>
    <r>
      <rPr>
        <sz val="10"/>
        <color indexed="12"/>
        <rFont val="Arial"/>
        <family val="2"/>
      </rPr>
      <t>http://www.newsweb.no/newsweb/attachment.do?name=Corporate_Presentation.pdf&amp;attId=90715</t>
    </r>
  </si>
  <si>
    <t>Det bemærkes at ikke alle NEC's oplysninger hænger 100% sammen, så forudsætninger er mine skøn.</t>
  </si>
  <si>
    <t>Forudsætninger</t>
  </si>
  <si>
    <t xml:space="preserve">beregninger er frem til slutsummer udført som om der ikke er JV'er. </t>
  </si>
  <si>
    <r>
      <t xml:space="preserve">Startudgift 1,3 mio.$ </t>
    </r>
    <r>
      <rPr>
        <sz val="9"/>
        <rFont val="TimesNewRomanPSMT"/>
        <family val="1"/>
      </rPr>
      <t>for 1 brønd (NEC sagde tidligere 1,1 nu 1,35 og håber på 1,0 ved bedre valg af rigtype)</t>
    </r>
  </si>
  <si>
    <r>
      <t>Initial flow 1400 Mcf/d</t>
    </r>
    <r>
      <rPr>
        <sz val="9"/>
        <rFont val="TimesNewRomanPSMT"/>
        <family val="1"/>
      </rPr>
      <t>, decline første år 50 %, andet år 25% og herefter 10 procent pr. år</t>
    </r>
  </si>
  <si>
    <t>bør egentlig give over 1500 Mcf/d, som jeg senest anvendte, allerede fra 2011, når bedre prospekter i det nu kortlagte 3D bores og især senere længere mod syd til større dybde og dermed højere tryk. Men NEC regner med 1000 Mcf/d.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</si>
  <si>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</si>
  <si>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Som udgangspunk kommer 4 nye på i måneder juni-december, 2 i januar og maj og altså ingen i februar-april</t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</si>
  <si>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</si>
  <si>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</si>
  <si>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</si>
  <si>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</si>
  <si>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</si>
  <si>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</si>
  <si>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</si>
  <si>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</si>
  <si>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</si>
  <si>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</si>
  <si>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</si>
  <si>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</si>
  <si>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</si>
  <si>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</si>
  <si>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</si>
  <si>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</si>
  <si>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</si>
  <si>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</si>
  <si>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</si>
  <si>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</si>
  <si>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</si>
  <si>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</si>
  <si>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</si>
  <si>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</si>
  <si>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</si>
  <si>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</si>
  <si>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</si>
  <si>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</si>
  <si>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</si>
  <si>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</si>
  <si>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</si>
  <si>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</si>
  <si>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</si>
  <si>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</si>
  <si>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</si>
  <si>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</si>
  <si>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</si>
  <si>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</si>
  <si>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</si>
  <si>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</si>
  <si>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</si>
  <si>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r>
      <t xml:space="preserve">prisniveau kan også sammenlignes med </t>
    </r>
    <r>
      <rPr>
        <b/>
        <sz val="8"/>
        <rFont val="Arial"/>
        <family val="2"/>
      </rPr>
      <t>http://bakerinstitute.org/publications/EF-pub-DOEShaleGas-07192011.pdf</t>
    </r>
  </si>
  <si>
    <t>der er fald siden sidste opstilling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</si>
  <si>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</si>
  <si>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</si>
  <si>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</si>
  <si>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</si>
  <si>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</si>
  <si>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</si>
  <si>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</si>
  <si>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</si>
  <si>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</si>
  <si>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</si>
  <si>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</si>
  <si>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</si>
  <si>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</si>
  <si>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</si>
  <si>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</si>
  <si>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2015-16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</si>
  <si>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</si>
  <si>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</si>
  <si>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</si>
  <si>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</si>
  <si>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</si>
  <si>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Gnms.Pris $</t>
  </si>
  <si>
    <t>tallene i de første kvartaler kan begrænses af aftagersystem</t>
  </si>
  <si>
    <t>nye brønde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</si>
  <si>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</si>
  <si>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</si>
  <si>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</si>
  <si>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</si>
  <si>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</si>
  <si>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</si>
  <si>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</si>
  <si>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</si>
  <si>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</si>
  <si>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</si>
  <si>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</si>
  <si>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</si>
  <si>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produktion i Mcf/d</t>
  </si>
  <si>
    <t>gl.brønde &gt;&gt;</t>
  </si>
  <si>
    <t>(Stryker)</t>
  </si>
  <si>
    <t>(Bradford)</t>
  </si>
  <si>
    <t>nyinvest:</t>
  </si>
  <si>
    <r>
      <t>Kvartalets</t>
    </r>
    <r>
      <rPr>
        <sz val="10"/>
        <rFont val="Arial"/>
        <family val="2"/>
      </rPr>
      <t xml:space="preserve"> dagsproduktion</t>
    </r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</si>
  <si>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</si>
  <si>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</si>
  <si>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</si>
  <si>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r>
      <t>År</t>
    </r>
    <r>
      <rPr>
        <sz val="10"/>
        <rFont val="Arial"/>
        <family val="2"/>
      </rPr>
      <t>-royalty</t>
    </r>
  </si>
  <si>
    <t>royalty</t>
  </si>
  <si>
    <t>Uden nye JV</t>
  </si>
  <si>
    <t>bonds</t>
  </si>
  <si>
    <t>reelt er JV'erne bedre end fifty-fifty for NEC, så beregning med 40% af udgifter og 60% af indtægter er nok mere rigtig.</t>
  </si>
  <si>
    <r>
      <t xml:space="preserve"> I 2012 er der med det angivne forløb til andre udviklings- og gruppeomkostninger    </t>
    </r>
    <r>
      <rPr>
        <b/>
        <sz val="10"/>
        <rFont val="Arial"/>
        <family val="2"/>
      </rPr>
      <t>mio. $</t>
    </r>
  </si>
  <si>
    <t>en pæn del af indtægter (ca.15 mio.$) dog efter juli (bonds)</t>
  </si>
  <si>
    <t>i 2013</t>
  </si>
  <si>
    <t>en pæn del af indtægter (knap 35 mio.$) dog efter juli (bonds)</t>
  </si>
  <si>
    <t>i 2014</t>
  </si>
  <si>
    <t>Royaltyomkostninger 12,5% er medtaget heri.</t>
  </si>
  <si>
    <t>i 2015</t>
  </si>
  <si>
    <t>2015 Warrants</t>
  </si>
  <si>
    <t xml:space="preserve"> i 2016</t>
  </si>
  <si>
    <t>og i 2017</t>
  </si>
  <si>
    <t>Nutidsværdi NPV(10) pr kvartal</t>
  </si>
  <si>
    <t>kun indtægter</t>
  </si>
  <si>
    <t>Indtægter-inv.</t>
  </si>
  <si>
    <t>NEC likvider</t>
  </si>
  <si>
    <t>Mio.$</t>
  </si>
  <si>
    <t>Herkimerbrønde med 3D</t>
  </si>
  <si>
    <t>nr</t>
  </si>
  <si>
    <t>navn</t>
  </si>
  <si>
    <t>rank1</t>
  </si>
  <si>
    <t>rank2</t>
  </si>
  <si>
    <t>forventet</t>
  </si>
  <si>
    <t>IP30 (Mcf/d)</t>
  </si>
  <si>
    <t>For perioden frem til stor bondbetaling juli 2012</t>
  </si>
  <si>
    <t>Kasse 10/4 11</t>
  </si>
  <si>
    <t>selskabsdrift</t>
  </si>
  <si>
    <t>salg af pipeline (V)</t>
  </si>
  <si>
    <t>Lån 2011</t>
  </si>
  <si>
    <t>210 mio. nye aktier</t>
  </si>
  <si>
    <t>30 Herkimer</t>
  </si>
  <si>
    <t>salg af overfladeret</t>
  </si>
  <si>
    <t>Ny 3D-seismik</t>
  </si>
  <si>
    <t>salg fra Herkimer</t>
  </si>
  <si>
    <t>aftagersystem</t>
  </si>
  <si>
    <t>salg fra 18 JV brønde</t>
  </si>
  <si>
    <t>Renter 2012</t>
  </si>
  <si>
    <t>salg fra 3 JV brønde</t>
  </si>
  <si>
    <t>Bonds 2012</t>
  </si>
  <si>
    <t>salg fra nye brønde</t>
  </si>
  <si>
    <t>alm. aktiviteter i alt</t>
  </si>
  <si>
    <t>salg/JV af ROW</t>
  </si>
  <si>
    <t>?</t>
  </si>
  <si>
    <t>nye bondlån</t>
  </si>
  <si>
    <t>Herkimer JV</t>
  </si>
  <si>
    <t>Shale JV</t>
  </si>
  <si>
    <t>RBL</t>
  </si>
  <si>
    <t>Kasse 1/7 12</t>
  </si>
  <si>
    <t>Lån 2012-3</t>
  </si>
  <si>
    <t>tjek af nutidsværdier og IRR</t>
  </si>
  <si>
    <t>i forskellige præsentationer stiller NEC nogle beregninger op</t>
  </si>
  <si>
    <t>s.10 http://www.norseenergy.com/media/Norse_Energy_IPAA_OGIS_NY_Presentation_Apr_12_2011.pdf</t>
  </si>
  <si>
    <t xml:space="preserve">Med 1,1 mio.$ CapEx </t>
  </si>
  <si>
    <t>Gaspris $</t>
  </si>
  <si>
    <t>NEC i alt</t>
  </si>
  <si>
    <t>KDV 5år</t>
  </si>
  <si>
    <t>NPV(10)</t>
  </si>
  <si>
    <t>1,000 IP-30</t>
  </si>
  <si>
    <t xml:space="preserve"> $424 198</t>
  </si>
  <si>
    <t xml:space="preserve">  $847 740</t>
  </si>
  <si>
    <t xml:space="preserve">$1 271 799  </t>
  </si>
  <si>
    <t>IRR</t>
  </si>
  <si>
    <t>0,7 Bcf</t>
  </si>
  <si>
    <t>1,300 IP-30</t>
  </si>
  <si>
    <t xml:space="preserve"> $903 314 </t>
  </si>
  <si>
    <t xml:space="preserve"> $1 454 715 </t>
  </si>
  <si>
    <t xml:space="preserve"> $2 006 528 </t>
  </si>
  <si>
    <t>0,9 Bcf</t>
  </si>
  <si>
    <t>flowtabel lavet efter oplysning om decline på 50% første år, 25% andet år og derefetr 10% om året</t>
  </si>
  <si>
    <t>Som det ses giver det her en produktion, der allerede inden 5 år har nået samlet mængde selv om Herkimer vides at producere i årtier.</t>
  </si>
  <si>
    <t>Decline 1000</t>
  </si>
  <si>
    <t>$ pr.brønd</t>
  </si>
  <si>
    <t>overskud 5år</t>
  </si>
  <si>
    <t>PI1000 $4</t>
  </si>
  <si>
    <t>PI1000 $5</t>
  </si>
  <si>
    <t>PI1000 $6</t>
  </si>
  <si>
    <t>PI1300 $4</t>
  </si>
  <si>
    <t>PI1300 $5</t>
  </si>
  <si>
    <t>PI1300 $6</t>
  </si>
  <si>
    <t>NPV-faktor</t>
  </si>
  <si>
    <t>10%om året svarer ca. til 0,8% om måneden som der her er regnet med</t>
  </si>
  <si>
    <t>NPV$ sum</t>
  </si>
  <si>
    <t>opsummeret nutidsværdi</t>
  </si>
  <si>
    <t>fed markering når investering går i plus</t>
  </si>
  <si>
    <t>NEC-tal</t>
  </si>
  <si>
    <t>difference 5år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</si>
</sst>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0"/>
    <numFmt numFmtId="167" formatCode="0.0"/>
    <numFmt numFmtId="168" formatCode="0.00%"/>
    <numFmt numFmtId="169" formatCode="0.00"/>
    <numFmt numFmtId="170" formatCode="0%"/>
    <numFmt numFmtId="171" formatCode="#,##0"/>
    <numFmt numFmtId="172" formatCode="0.000"/>
  </numFmts>
  <fonts count="25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name val=""/>
      <family val="1"/>
    </font>
    <font>
      <b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right"/>
    </xf>
    <xf numFmtId="164" fontId="8" fillId="0" borderId="0" xfId="0" applyFont="1" applyAlignment="1">
      <alignment horizontal="left"/>
    </xf>
    <xf numFmtId="164" fontId="10" fillId="0" borderId="0" xfId="0" applyFont="1" applyAlignment="1">
      <alignment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9" fillId="2" borderId="0" xfId="0" applyFont="1" applyFill="1" applyAlignment="1">
      <alignment/>
    </xf>
    <xf numFmtId="166" fontId="8" fillId="2" borderId="0" xfId="0" applyNumberFormat="1" applyFont="1" applyFill="1" applyAlignment="1">
      <alignment/>
    </xf>
    <xf numFmtId="166" fontId="9" fillId="2" borderId="1" xfId="0" applyNumberFormat="1" applyFont="1" applyFill="1" applyBorder="1" applyAlignment="1">
      <alignment/>
    </xf>
    <xf numFmtId="164" fontId="8" fillId="2" borderId="0" xfId="0" applyFont="1" applyFill="1" applyAlignment="1">
      <alignment/>
    </xf>
    <xf numFmtId="166" fontId="8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9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6" fontId="0" fillId="0" borderId="1" xfId="0" applyNumberFormat="1" applyBorder="1" applyAlignment="1">
      <alignment/>
    </xf>
    <xf numFmtId="164" fontId="19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2" xfId="0" applyFont="1" applyBorder="1" applyAlignment="1">
      <alignment/>
    </xf>
    <xf numFmtId="164" fontId="0" fillId="2" borderId="2" xfId="0" applyFont="1" applyFill="1" applyBorder="1" applyAlignment="1">
      <alignment/>
    </xf>
    <xf numFmtId="166" fontId="0" fillId="0" borderId="3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4" xfId="0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4" fontId="2" fillId="0" borderId="4" xfId="0" applyFont="1" applyBorder="1" applyAlignment="1">
      <alignment/>
    </xf>
    <xf numFmtId="167" fontId="0" fillId="0" borderId="0" xfId="0" applyNumberFormat="1" applyAlignment="1">
      <alignment/>
    </xf>
    <xf numFmtId="167" fontId="2" fillId="0" borderId="4" xfId="0" applyNumberFormat="1" applyFont="1" applyBorder="1" applyAlignment="1">
      <alignment/>
    </xf>
    <xf numFmtId="167" fontId="2" fillId="0" borderId="5" xfId="0" applyNumberFormat="1" applyFont="1" applyBorder="1" applyAlignment="1">
      <alignment/>
    </xf>
    <xf numFmtId="164" fontId="20" fillId="0" borderId="0" xfId="0" applyFont="1" applyAlignment="1">
      <alignment horizontal="right"/>
    </xf>
    <xf numFmtId="167" fontId="17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0" fillId="3" borderId="0" xfId="0" applyFont="1" applyFill="1" applyAlignment="1">
      <alignment horizontal="right"/>
    </xf>
    <xf numFmtId="168" fontId="0" fillId="3" borderId="0" xfId="0" applyNumberFormat="1" applyFont="1" applyFill="1" applyAlignment="1">
      <alignment horizontal="left"/>
    </xf>
    <xf numFmtId="169" fontId="0" fillId="3" borderId="0" xfId="0" applyNumberFormat="1" applyFont="1" applyFill="1" applyAlignment="1">
      <alignment/>
    </xf>
    <xf numFmtId="164" fontId="7" fillId="0" borderId="0" xfId="0" applyFont="1" applyAlignment="1">
      <alignment horizontal="center"/>
    </xf>
    <xf numFmtId="164" fontId="13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4" fontId="0" fillId="3" borderId="0" xfId="0" applyFont="1" applyFill="1" applyAlignment="1">
      <alignment/>
    </xf>
    <xf numFmtId="164" fontId="2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Alignment="1">
      <alignment horizontal="center"/>
    </xf>
    <xf numFmtId="164" fontId="23" fillId="0" borderId="6" xfId="0" applyFont="1" applyBorder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6" fontId="5" fillId="0" borderId="0" xfId="0" applyNumberFormat="1" applyFont="1" applyAlignment="1">
      <alignment/>
    </xf>
    <xf numFmtId="166" fontId="8" fillId="0" borderId="1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6" fontId="19" fillId="0" borderId="1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6" fontId="2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sweb.no/newsweb/attachment.do?name=Corporate_Presentation.pdf&amp;attId=90715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seenergy.com/media/Norse_Energy_IPAA_OGIS_NY_Presentation_Apr_12_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1"/>
  <sheetViews>
    <sheetView tabSelected="1" workbookViewId="0" topLeftCell="D35">
      <selection activeCell="F42" sqref="F42"/>
    </sheetView>
  </sheetViews>
  <sheetFormatPr defaultColWidth="12.57421875" defaultRowHeight="12.75"/>
  <cols>
    <col min="1" max="16384" width="11.5742187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2">
        <v>40747</v>
      </c>
    </row>
    <row r="2" spans="4:11" ht="12.75">
      <c r="D2" s="1" t="s">
        <v>1</v>
      </c>
      <c r="E2" s="1"/>
      <c r="F2" s="1"/>
      <c r="G2" s="1"/>
      <c r="H2" s="1"/>
      <c r="I2" s="1"/>
      <c r="J2" s="1"/>
      <c r="K2" s="2"/>
    </row>
    <row r="4" spans="1:9" ht="12.75">
      <c r="A4" s="3" t="s">
        <v>2</v>
      </c>
      <c r="I4" t="s">
        <v>3</v>
      </c>
    </row>
    <row r="5" ht="12.75">
      <c r="B5" s="4" t="s">
        <v>4</v>
      </c>
    </row>
    <row r="6" spans="2:21" ht="12.75">
      <c r="B6" s="5" t="s">
        <v>5</v>
      </c>
      <c r="H6" s="6" t="s">
        <v>6</v>
      </c>
      <c r="I6" s="1"/>
      <c r="T6" s="1"/>
      <c r="U6" s="1"/>
    </row>
    <row r="7" spans="2:8" ht="7.5" customHeight="1">
      <c r="B7" s="4"/>
      <c r="H7" s="6"/>
    </row>
    <row r="8" ht="12.75">
      <c r="B8" s="7" t="s">
        <v>7</v>
      </c>
    </row>
    <row r="9" spans="2:9" ht="12.75">
      <c r="B9" s="7" t="s">
        <v>8</v>
      </c>
      <c r="I9" s="6" t="s">
        <v>9</v>
      </c>
    </row>
    <row r="11" spans="2:5" ht="12.75">
      <c r="B11" s="3" t="s">
        <v>10</v>
      </c>
      <c r="E11" s="8" t="s">
        <v>11</v>
      </c>
    </row>
    <row r="12" spans="1:55" ht="12.75">
      <c r="A12" s="9"/>
      <c r="B12" s="9"/>
      <c r="C12" s="9"/>
      <c r="D12" s="9" t="s">
        <v>12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10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10">
        <v>24</v>
      </c>
      <c r="AC12" s="9">
        <v>25</v>
      </c>
      <c r="AD12" s="9">
        <v>26</v>
      </c>
      <c r="AE12" s="10">
        <v>27</v>
      </c>
      <c r="AF12" s="9">
        <v>28</v>
      </c>
      <c r="AG12" s="9">
        <v>29</v>
      </c>
      <c r="AH12" s="10">
        <v>30</v>
      </c>
      <c r="AI12" s="9">
        <v>31</v>
      </c>
      <c r="AJ12" s="9">
        <v>32</v>
      </c>
      <c r="AK12" s="10">
        <v>33</v>
      </c>
      <c r="AL12" s="9">
        <v>34</v>
      </c>
      <c r="AM12" s="9">
        <v>35</v>
      </c>
      <c r="AN12" s="10">
        <v>36</v>
      </c>
      <c r="AO12" s="9">
        <v>37</v>
      </c>
      <c r="AP12" s="9">
        <v>38</v>
      </c>
      <c r="AQ12" s="10">
        <v>39</v>
      </c>
      <c r="AR12" s="9">
        <v>40</v>
      </c>
      <c r="AS12" s="9">
        <v>41</v>
      </c>
      <c r="AT12" s="10">
        <v>42</v>
      </c>
      <c r="AU12" s="9">
        <v>43</v>
      </c>
      <c r="AV12" s="9">
        <v>44</v>
      </c>
      <c r="AW12" s="10">
        <v>45</v>
      </c>
      <c r="AX12" s="9">
        <v>46</v>
      </c>
      <c r="AY12" s="9">
        <v>47</v>
      </c>
      <c r="AZ12" s="10">
        <v>48</v>
      </c>
      <c r="BA12" s="9"/>
      <c r="BB12" s="9" t="s">
        <v>13</v>
      </c>
      <c r="BC12" s="9"/>
    </row>
    <row r="13" spans="1:52" ht="12.75">
      <c r="A13" s="11"/>
      <c r="B13" s="12" t="s">
        <v>14</v>
      </c>
      <c r="C13" s="13" t="s">
        <v>15</v>
      </c>
      <c r="D13" s="14">
        <v>1250</v>
      </c>
      <c r="E13" s="6">
        <v>1100</v>
      </c>
      <c r="F13" s="6">
        <v>1000</v>
      </c>
      <c r="G13" s="6">
        <v>928</v>
      </c>
      <c r="H13" s="6">
        <v>871</v>
      </c>
      <c r="I13" s="6">
        <v>818</v>
      </c>
      <c r="J13" s="6">
        <v>771</v>
      </c>
      <c r="K13" s="6">
        <v>727</v>
      </c>
      <c r="L13" s="6">
        <v>686</v>
      </c>
      <c r="M13" s="6">
        <v>648</v>
      </c>
      <c r="N13" s="6">
        <v>613</v>
      </c>
      <c r="O13" s="6">
        <v>580</v>
      </c>
      <c r="P13" s="6">
        <v>550</v>
      </c>
      <c r="Q13" s="6">
        <v>523</v>
      </c>
      <c r="R13" s="6">
        <v>498</v>
      </c>
      <c r="S13" s="6">
        <v>476</v>
      </c>
      <c r="T13" s="6">
        <v>456</v>
      </c>
      <c r="U13" s="6">
        <v>438</v>
      </c>
      <c r="V13" s="6">
        <v>422</v>
      </c>
      <c r="W13" s="6">
        <v>409</v>
      </c>
      <c r="X13" s="6">
        <v>398</v>
      </c>
      <c r="Y13" s="6">
        <v>389</v>
      </c>
      <c r="Z13" s="6">
        <v>381</v>
      </c>
      <c r="AA13" s="6">
        <v>374</v>
      </c>
      <c r="AB13" s="15">
        <f>P13*0.667</f>
        <v>366.85</v>
      </c>
      <c r="AC13" s="6">
        <v>361</v>
      </c>
      <c r="AD13" s="6">
        <v>355</v>
      </c>
      <c r="AE13" s="6">
        <v>350</v>
      </c>
      <c r="AF13" s="6">
        <v>345</v>
      </c>
      <c r="AG13" s="6">
        <v>340</v>
      </c>
      <c r="AH13" s="6">
        <v>336</v>
      </c>
      <c r="AI13" s="6">
        <v>332</v>
      </c>
      <c r="AJ13" s="6">
        <v>328</v>
      </c>
      <c r="AK13" s="6">
        <v>325</v>
      </c>
      <c r="AL13" s="6">
        <v>322</v>
      </c>
      <c r="AM13" s="16">
        <v>319</v>
      </c>
      <c r="AN13" s="6">
        <v>316</v>
      </c>
      <c r="AO13" s="6">
        <v>313</v>
      </c>
      <c r="AP13" s="6">
        <v>310</v>
      </c>
      <c r="AQ13" s="6">
        <v>307</v>
      </c>
      <c r="AR13" s="6">
        <v>304</v>
      </c>
      <c r="AS13" s="6">
        <v>301</v>
      </c>
      <c r="AT13" s="6">
        <v>298</v>
      </c>
      <c r="AU13" s="6">
        <v>295</v>
      </c>
      <c r="AV13" s="6">
        <v>292</v>
      </c>
      <c r="AW13" s="6">
        <v>289</v>
      </c>
      <c r="AX13" s="6">
        <v>287</v>
      </c>
      <c r="AY13" s="16">
        <v>285</v>
      </c>
      <c r="AZ13" s="6">
        <v>283</v>
      </c>
    </row>
    <row r="14" spans="1:55" ht="12.75">
      <c r="A14" s="11"/>
      <c r="B14" s="12"/>
      <c r="C14" s="13"/>
      <c r="D14" s="17">
        <f>D13/1250*1400</f>
        <v>1400</v>
      </c>
      <c r="E14" s="18">
        <f>E13/1250*1400</f>
        <v>1232</v>
      </c>
      <c r="F14" s="18">
        <f>F13/1250*1400</f>
        <v>1120</v>
      </c>
      <c r="G14" s="18">
        <f>G13/1250*1400</f>
        <v>1039.36</v>
      </c>
      <c r="H14" s="18">
        <f>H13/1250*1400</f>
        <v>975.52</v>
      </c>
      <c r="I14" s="18">
        <f>I13/1250*1400</f>
        <v>916.16</v>
      </c>
      <c r="J14" s="18">
        <f>J13/1250*1400</f>
        <v>863.52</v>
      </c>
      <c r="K14" s="18">
        <f>K13/1250*1400</f>
        <v>814.24</v>
      </c>
      <c r="L14" s="18">
        <f>L13/1250*1400</f>
        <v>768.3199999999999</v>
      </c>
      <c r="M14" s="18">
        <f>M13/1250*1400</f>
        <v>725.76</v>
      </c>
      <c r="N14" s="18">
        <f>N13/1250*1400</f>
        <v>686.5600000000001</v>
      </c>
      <c r="O14" s="18">
        <f>O13/1250*1400</f>
        <v>649.6</v>
      </c>
      <c r="P14" s="19">
        <f>P13/1250*1400</f>
        <v>616</v>
      </c>
      <c r="Q14" s="18">
        <f>Q13/1250*1400</f>
        <v>585.76</v>
      </c>
      <c r="R14" s="18">
        <f>R13/1250*1400</f>
        <v>557.76</v>
      </c>
      <c r="S14" s="18">
        <f>S13/1250*1400</f>
        <v>533.12</v>
      </c>
      <c r="T14" s="18">
        <f>T13/1250*1400</f>
        <v>510.72</v>
      </c>
      <c r="U14" s="18">
        <f>U13/1250*1400</f>
        <v>490.56</v>
      </c>
      <c r="V14" s="18">
        <f>V13/1250*1400</f>
        <v>472.64000000000004</v>
      </c>
      <c r="W14" s="18">
        <f>W13/1250*1400</f>
        <v>458.08</v>
      </c>
      <c r="X14" s="18">
        <f>X13/1250*1400</f>
        <v>445.76000000000005</v>
      </c>
      <c r="Y14" s="18">
        <f>Y13/1250*1400</f>
        <v>435.67999999999995</v>
      </c>
      <c r="Z14" s="18">
        <f>Z13/1250*1400</f>
        <v>426.72</v>
      </c>
      <c r="AA14" s="18">
        <f>AA13/1250*1400</f>
        <v>418.88000000000005</v>
      </c>
      <c r="AB14" s="19">
        <f>AB13/1250*1400</f>
        <v>410.872</v>
      </c>
      <c r="AC14" s="18">
        <f>AC13/1250*1400</f>
        <v>404.32</v>
      </c>
      <c r="AD14" s="18">
        <f>AD13/1250*1400</f>
        <v>397.59999999999997</v>
      </c>
      <c r="AE14" s="18">
        <f>AE13/1250*1400</f>
        <v>392.00000000000006</v>
      </c>
      <c r="AF14" s="18">
        <f>AF13/1250*1400</f>
        <v>386.40000000000003</v>
      </c>
      <c r="AG14" s="18">
        <f>AG13/1250*1400</f>
        <v>380.8</v>
      </c>
      <c r="AH14" s="18">
        <f>AH13/1250*1400</f>
        <v>376.32</v>
      </c>
      <c r="AI14" s="18">
        <f>AI13/1250*1400</f>
        <v>371.84000000000003</v>
      </c>
      <c r="AJ14" s="18">
        <f>AJ13/1250*1400</f>
        <v>367.36</v>
      </c>
      <c r="AK14" s="18">
        <f>AK13/1250*1400</f>
        <v>364</v>
      </c>
      <c r="AL14" s="18">
        <f>AL13/1250*1400</f>
        <v>360.64</v>
      </c>
      <c r="AM14" s="18">
        <f>AM13/1250*1400</f>
        <v>357.28</v>
      </c>
      <c r="AN14" s="19">
        <f>AN13/1250*1400</f>
        <v>353.92</v>
      </c>
      <c r="AO14" s="18">
        <f>AO13/1250*1400</f>
        <v>350.56</v>
      </c>
      <c r="AP14" s="18">
        <f>AP13/1250*1400</f>
        <v>347.2</v>
      </c>
      <c r="AQ14" s="18">
        <f>AQ13/1250*1400</f>
        <v>343.84000000000003</v>
      </c>
      <c r="AR14" s="18">
        <f>AR13/1250*1400</f>
        <v>340.48</v>
      </c>
      <c r="AS14" s="18">
        <f>AS13/1250*1400</f>
        <v>337.12</v>
      </c>
      <c r="AT14" s="18">
        <f>AT13/1250*1400</f>
        <v>333.76</v>
      </c>
      <c r="AU14" s="18">
        <f>AU13/1250*1400</f>
        <v>330.4</v>
      </c>
      <c r="AV14" s="18">
        <f>AV13/1250*1400</f>
        <v>327.04</v>
      </c>
      <c r="AW14" s="18">
        <f>AW13/1250*1400</f>
        <v>323.68</v>
      </c>
      <c r="AX14" s="18">
        <f>AX13/1250*1400</f>
        <v>321.44</v>
      </c>
      <c r="AY14" s="18">
        <f>AY13/1250*1400</f>
        <v>319.2</v>
      </c>
      <c r="AZ14" s="20">
        <f>AZ13/1250*1400</f>
        <v>316.96</v>
      </c>
      <c r="BA14" s="11"/>
      <c r="BB14" s="21">
        <f>SUM(E14:BA14)*0.03</f>
        <v>739.7325599999998</v>
      </c>
      <c r="BC14" s="11" t="s">
        <v>16</v>
      </c>
    </row>
    <row r="15" spans="2:52" ht="12.75">
      <c r="B15" s="22" t="s">
        <v>17</v>
      </c>
      <c r="E15" s="23">
        <f>D14-E14</f>
        <v>168</v>
      </c>
      <c r="F15" s="23">
        <f>E14-F14</f>
        <v>112</v>
      </c>
      <c r="G15" s="23">
        <f>F14-G14</f>
        <v>80.6400000000001</v>
      </c>
      <c r="H15" s="23">
        <f>G14-H14</f>
        <v>63.83999999999992</v>
      </c>
      <c r="I15" s="23">
        <f>H14-I14</f>
        <v>59.360000000000014</v>
      </c>
      <c r="J15" s="23">
        <f>I14-J14</f>
        <v>52.639999999999986</v>
      </c>
      <c r="K15" s="23">
        <f>J14-K14</f>
        <v>49.27999999999997</v>
      </c>
      <c r="L15" s="23">
        <f>K14-L14</f>
        <v>45.92000000000007</v>
      </c>
      <c r="M15" s="23">
        <f>L14-M14</f>
        <v>42.559999999999945</v>
      </c>
      <c r="N15" s="23">
        <f>M14-N14</f>
        <v>39.19999999999993</v>
      </c>
      <c r="O15" s="23">
        <f>N14-O14</f>
        <v>36.960000000000036</v>
      </c>
      <c r="P15" s="23">
        <f>O14-P14</f>
        <v>33.60000000000002</v>
      </c>
      <c r="Q15" s="23">
        <f>P14-Q14</f>
        <v>30.24000000000001</v>
      </c>
      <c r="R15" s="23">
        <f>Q14-R14</f>
        <v>28</v>
      </c>
      <c r="S15" s="23">
        <f>R14-S14</f>
        <v>24.639999999999986</v>
      </c>
      <c r="T15" s="23">
        <f>S14-T14</f>
        <v>22.399999999999977</v>
      </c>
      <c r="U15" s="23">
        <f>T14-U14</f>
        <v>20.160000000000025</v>
      </c>
      <c r="V15" s="23">
        <f>U14-V14</f>
        <v>17.91999999999996</v>
      </c>
      <c r="W15" s="23">
        <f>V14-W14</f>
        <v>14.56000000000006</v>
      </c>
      <c r="X15" s="23">
        <f>W14-X14</f>
        <v>12.319999999999936</v>
      </c>
      <c r="Y15" s="23">
        <f>X14-Y14</f>
        <v>10.080000000000098</v>
      </c>
      <c r="Z15" s="23">
        <f>Y14-Z14</f>
        <v>8.959999999999923</v>
      </c>
      <c r="AA15" s="23">
        <f>Z14-AA14</f>
        <v>7.839999999999975</v>
      </c>
      <c r="AB15" s="24">
        <v>7</v>
      </c>
      <c r="AC15" s="25">
        <v>6</v>
      </c>
      <c r="AD15" s="25">
        <v>6</v>
      </c>
      <c r="AE15" s="25">
        <v>5</v>
      </c>
      <c r="AF15" s="25">
        <v>4</v>
      </c>
      <c r="AG15" s="25">
        <v>4</v>
      </c>
      <c r="AH15" s="25">
        <v>4</v>
      </c>
      <c r="AI15" s="25">
        <v>3</v>
      </c>
      <c r="AJ15" s="25">
        <v>3</v>
      </c>
      <c r="AK15" s="25">
        <v>3</v>
      </c>
      <c r="AL15" s="25">
        <v>3</v>
      </c>
      <c r="AM15" s="25">
        <v>3</v>
      </c>
      <c r="AN15" s="24">
        <v>3</v>
      </c>
      <c r="AO15" s="25">
        <v>4</v>
      </c>
      <c r="AP15" s="25">
        <v>4</v>
      </c>
      <c r="AQ15" s="25">
        <v>4</v>
      </c>
      <c r="AR15" s="25">
        <v>4</v>
      </c>
      <c r="AS15" s="25">
        <v>4</v>
      </c>
      <c r="AT15">
        <v>4</v>
      </c>
      <c r="AU15">
        <v>3</v>
      </c>
      <c r="AV15">
        <v>3</v>
      </c>
      <c r="AW15">
        <v>3</v>
      </c>
      <c r="AX15">
        <v>3</v>
      </c>
      <c r="AY15">
        <v>3</v>
      </c>
      <c r="AZ15">
        <v>3</v>
      </c>
    </row>
    <row r="16" spans="3:40" ht="12.75">
      <c r="C16" s="22"/>
      <c r="E16" s="8" t="s">
        <v>18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AB16" s="27"/>
      <c r="AN16" s="27"/>
    </row>
    <row r="17" spans="3:40" ht="12.75">
      <c r="C17" s="22"/>
      <c r="E17" s="26"/>
      <c r="F17" s="26" t="s">
        <v>19</v>
      </c>
      <c r="G17" s="26" t="s">
        <v>20</v>
      </c>
      <c r="H17" s="26" t="s">
        <v>21</v>
      </c>
      <c r="I17" s="26" t="s">
        <v>22</v>
      </c>
      <c r="J17" s="26" t="s">
        <v>23</v>
      </c>
      <c r="K17" s="26" t="s">
        <v>24</v>
      </c>
      <c r="L17" s="26" t="s">
        <v>25</v>
      </c>
      <c r="M17" s="26" t="s">
        <v>26</v>
      </c>
      <c r="N17" s="26" t="s">
        <v>27</v>
      </c>
      <c r="O17" s="26" t="s">
        <v>28</v>
      </c>
      <c r="P17" s="26" t="s">
        <v>29</v>
      </c>
      <c r="Q17" s="26" t="s">
        <v>30</v>
      </c>
      <c r="R17" s="26" t="s">
        <v>31</v>
      </c>
      <c r="S17" s="26" t="s">
        <v>32</v>
      </c>
      <c r="T17" s="26" t="s">
        <v>33</v>
      </c>
      <c r="U17" s="26" t="s">
        <v>34</v>
      </c>
      <c r="V17" s="26" t="s">
        <v>35</v>
      </c>
      <c r="W17" s="26" t="s">
        <v>36</v>
      </c>
      <c r="X17" s="26" t="s">
        <v>37</v>
      </c>
      <c r="Y17" s="26" t="s">
        <v>38</v>
      </c>
      <c r="Z17" s="26" t="s">
        <v>39</v>
      </c>
      <c r="AA17" s="26" t="s">
        <v>40</v>
      </c>
      <c r="AB17" s="26" t="s">
        <v>41</v>
      </c>
      <c r="AC17" s="26" t="s">
        <v>42</v>
      </c>
      <c r="AD17" s="26" t="s">
        <v>43</v>
      </c>
      <c r="AE17" s="26" t="s">
        <v>44</v>
      </c>
      <c r="AF17" s="26" t="s">
        <v>45</v>
      </c>
      <c r="AG17" s="26" t="s">
        <v>46</v>
      </c>
      <c r="AN17" s="27"/>
    </row>
    <row r="18" spans="6:21" ht="12.75">
      <c r="F18" s="28">
        <f>SUM(D13:F13)/3</f>
        <v>1116.6666666666667</v>
      </c>
      <c r="G18" s="28">
        <f>SUM(G13:I13)/3</f>
        <v>872.3333333333334</v>
      </c>
      <c r="H18" s="28">
        <f>SUM(J13:L13)/3</f>
        <v>728</v>
      </c>
      <c r="I18" s="28">
        <f>SUM(M13:O13)/3</f>
        <v>613.6666666666666</v>
      </c>
      <c r="J18" s="28">
        <f>SUM(P13:R13)/3</f>
        <v>523.6666666666666</v>
      </c>
      <c r="K18" s="28">
        <f>SUM(S13:U13)/3</f>
        <v>456.6666666666667</v>
      </c>
      <c r="L18" s="28">
        <f>SUM(V13:X13)/3</f>
        <v>409.6666666666667</v>
      </c>
      <c r="M18" s="28">
        <f>SUM(Y13:AA13)/3</f>
        <v>381.3333333333333</v>
      </c>
      <c r="N18" s="28">
        <f>SUM(AB13:AD13)/3</f>
        <v>360.95</v>
      </c>
      <c r="O18" s="28">
        <f>SUM(AE13:AG13)/3</f>
        <v>345</v>
      </c>
      <c r="P18" s="28">
        <f>SUM(AH13:AJ13)/3</f>
        <v>332</v>
      </c>
      <c r="Q18" s="28">
        <f>SUM(AK13:AM13)/3</f>
        <v>322</v>
      </c>
      <c r="R18" s="28">
        <f>SUM(AN13:AP13)/3</f>
        <v>313</v>
      </c>
      <c r="S18" s="28">
        <f>SUM(AQ13:AS13)/3</f>
        <v>304</v>
      </c>
      <c r="T18" s="28">
        <f>SUM(AT13:AV13)/3</f>
        <v>295</v>
      </c>
      <c r="U18" s="28">
        <f>SUM(AW13:AY13)/3</f>
        <v>287</v>
      </c>
    </row>
    <row r="19" spans="6:33" ht="12.75">
      <c r="F19" s="29">
        <f>SUM(D14:F14)/3</f>
        <v>1250.6666666666667</v>
      </c>
      <c r="G19" s="29">
        <f>SUM(G14:I14)/3</f>
        <v>977.0133333333333</v>
      </c>
      <c r="H19" s="29">
        <f>SUM(J14:L14)/3</f>
        <v>815.36</v>
      </c>
      <c r="I19" s="29">
        <f>SUM(M14:O14)/3</f>
        <v>687.3066666666667</v>
      </c>
      <c r="J19" s="29">
        <f>SUM(P14:R14)/3</f>
        <v>586.5066666666667</v>
      </c>
      <c r="K19" s="29">
        <f>SUM(S14:U14)/3</f>
        <v>511.4666666666667</v>
      </c>
      <c r="L19" s="29">
        <f>SUM(V14:X14)/3</f>
        <v>458.82666666666665</v>
      </c>
      <c r="M19" s="29">
        <f>SUM(Y14:AA14)/3</f>
        <v>427.0933333333334</v>
      </c>
      <c r="N19" s="29">
        <f>SUM(AB14:AD14)/3</f>
        <v>404.26399999999995</v>
      </c>
      <c r="O19" s="29">
        <f>SUM(AE14:AG14)/3</f>
        <v>386.40000000000003</v>
      </c>
      <c r="P19" s="29">
        <f>SUM(AH14:AJ14)/3</f>
        <v>371.84</v>
      </c>
      <c r="Q19" s="29">
        <f>SUM(AK14:AM14)/3</f>
        <v>360.64000000000004</v>
      </c>
      <c r="R19" s="29">
        <f>SUM(AN14:AP14)/3</f>
        <v>350.56</v>
      </c>
      <c r="S19" s="29">
        <f>SUM(AQ14:AS14)/3</f>
        <v>340.48</v>
      </c>
      <c r="T19" s="29">
        <f>SUM(AT14:AV14)/3</f>
        <v>330.40000000000003</v>
      </c>
      <c r="U19" s="29">
        <f>SUM(AW14:AY14)/3</f>
        <v>321.44</v>
      </c>
      <c r="V19" s="29">
        <v>313</v>
      </c>
      <c r="W19" s="29">
        <v>306</v>
      </c>
      <c r="X19" s="29">
        <v>300</v>
      </c>
      <c r="Y19" s="29">
        <v>294</v>
      </c>
      <c r="Z19" s="29">
        <v>289</v>
      </c>
      <c r="AA19" s="29">
        <v>285</v>
      </c>
      <c r="AB19" s="29">
        <v>282</v>
      </c>
      <c r="AC19" s="29">
        <v>279</v>
      </c>
      <c r="AD19" s="29">
        <v>276</v>
      </c>
      <c r="AE19" s="29">
        <v>273</v>
      </c>
      <c r="AF19" s="29">
        <v>270</v>
      </c>
      <c r="AG19" s="29">
        <v>267</v>
      </c>
    </row>
    <row r="20" spans="2:5" ht="12.75">
      <c r="B20" s="4"/>
      <c r="E20" s="4"/>
    </row>
    <row r="21" ht="12.75">
      <c r="B21" s="4"/>
    </row>
    <row r="22" spans="1:4" ht="12.75">
      <c r="A22" s="30" t="s">
        <v>47</v>
      </c>
      <c r="B22" t="s">
        <v>48</v>
      </c>
      <c r="D22" s="6" t="s">
        <v>49</v>
      </c>
    </row>
    <row r="23" spans="1:4" ht="12.75">
      <c r="A23" s="30"/>
      <c r="D23" s="6" t="s">
        <v>50</v>
      </c>
    </row>
    <row r="24" spans="2:22" ht="12.75">
      <c r="B24" s="31" t="s">
        <v>51</v>
      </c>
      <c r="E24" s="32"/>
      <c r="F24" s="33" t="s">
        <v>52</v>
      </c>
      <c r="G24" s="33" t="s">
        <v>53</v>
      </c>
      <c r="H24" s="33" t="s">
        <v>54</v>
      </c>
      <c r="I24" s="33" t="s">
        <v>55</v>
      </c>
      <c r="J24" s="33" t="s">
        <v>56</v>
      </c>
      <c r="K24" s="33" t="s">
        <v>57</v>
      </c>
      <c r="L24" s="33" t="s">
        <v>58</v>
      </c>
      <c r="M24" s="33" t="s">
        <v>59</v>
      </c>
      <c r="N24" s="33" t="s">
        <v>60</v>
      </c>
      <c r="O24" s="33" t="s">
        <v>61</v>
      </c>
      <c r="P24" s="33" t="s">
        <v>62</v>
      </c>
      <c r="Q24" s="33" t="s">
        <v>63</v>
      </c>
      <c r="R24" s="33" t="s">
        <v>64</v>
      </c>
      <c r="S24" s="33" t="s">
        <v>65</v>
      </c>
      <c r="T24" s="33" t="s">
        <v>66</v>
      </c>
      <c r="U24" t="s">
        <v>67</v>
      </c>
      <c r="V24">
        <v>2017</v>
      </c>
    </row>
    <row r="25" spans="4:22" ht="12.75">
      <c r="D25" s="3" t="s">
        <v>68</v>
      </c>
      <c r="F25">
        <v>4.3</v>
      </c>
      <c r="G25">
        <v>4.1</v>
      </c>
      <c r="H25">
        <v>4.2</v>
      </c>
      <c r="I25">
        <v>4.5</v>
      </c>
      <c r="J25">
        <v>4.5</v>
      </c>
      <c r="K25">
        <v>4.6</v>
      </c>
      <c r="L25">
        <v>4.8</v>
      </c>
      <c r="M25">
        <v>5.1</v>
      </c>
      <c r="N25">
        <v>5</v>
      </c>
      <c r="O25">
        <v>5</v>
      </c>
      <c r="P25">
        <v>5.2</v>
      </c>
      <c r="Q25">
        <v>5.5</v>
      </c>
      <c r="R25">
        <v>5.2</v>
      </c>
      <c r="S25">
        <v>5.3</v>
      </c>
      <c r="T25">
        <v>5.5</v>
      </c>
      <c r="U25">
        <v>5.7</v>
      </c>
      <c r="V25">
        <v>6.1</v>
      </c>
    </row>
    <row r="26" spans="4:17" ht="12.75">
      <c r="D26" t="s">
        <v>69</v>
      </c>
      <c r="F26" s="9">
        <v>0.30000000000000004</v>
      </c>
      <c r="G26" s="9">
        <v>0.25</v>
      </c>
      <c r="H26" s="9">
        <v>0.2</v>
      </c>
      <c r="I26" s="9">
        <v>0.15</v>
      </c>
      <c r="J26" s="9">
        <v>0.1</v>
      </c>
      <c r="K26" s="9">
        <v>0.1</v>
      </c>
      <c r="L26" s="9">
        <v>0.1</v>
      </c>
      <c r="M26" s="9">
        <v>0.05</v>
      </c>
      <c r="N26" s="9">
        <v>0.05</v>
      </c>
      <c r="O26" s="9">
        <v>0</v>
      </c>
      <c r="P26" s="9">
        <v>0</v>
      </c>
      <c r="Q26" s="9">
        <v>0</v>
      </c>
    </row>
    <row r="27" spans="4:22" ht="12.75">
      <c r="D27" t="s">
        <v>70</v>
      </c>
      <c r="F27" s="26">
        <f>SUM(F25:F26)</f>
        <v>4.6</v>
      </c>
      <c r="G27" s="26">
        <f>SUM(G25:G26)</f>
        <v>4.35</v>
      </c>
      <c r="H27" s="26">
        <f>SUM(H25:H26)</f>
        <v>4.4</v>
      </c>
      <c r="I27" s="26">
        <f>SUM(I25:I26)</f>
        <v>4.65</v>
      </c>
      <c r="J27" s="26">
        <f>SUM(J25:J26)</f>
        <v>4.6</v>
      </c>
      <c r="K27" s="26">
        <f>SUM(K25:K26)</f>
        <v>4.699999999999999</v>
      </c>
      <c r="L27" s="26">
        <f>SUM(L25:L26)</f>
        <v>4.8999999999999995</v>
      </c>
      <c r="M27" s="26">
        <f>SUM(M25:M26)</f>
        <v>5.1499999999999995</v>
      </c>
      <c r="N27" s="26">
        <f>SUM(N25:N26)</f>
        <v>5.05</v>
      </c>
      <c r="O27" s="26">
        <f>SUM(O25:O26)</f>
        <v>5</v>
      </c>
      <c r="P27" s="26">
        <f>SUM(P25:P26)</f>
        <v>5.2</v>
      </c>
      <c r="Q27" s="26">
        <f>SUM(Q25:Q26)</f>
        <v>5.5</v>
      </c>
      <c r="R27" s="26">
        <f>SUM(R25:R26)</f>
        <v>5.2</v>
      </c>
      <c r="S27" s="26">
        <f>SUM(S25:S26)</f>
        <v>5.3</v>
      </c>
      <c r="T27" s="26">
        <f>SUM(T25:T26)</f>
        <v>5.5</v>
      </c>
      <c r="U27" s="26">
        <f>U25</f>
        <v>5.7</v>
      </c>
      <c r="V27" s="26">
        <f>V25</f>
        <v>6.1</v>
      </c>
    </row>
    <row r="29" ht="12.75">
      <c r="B29" s="6" t="s">
        <v>71</v>
      </c>
    </row>
    <row r="31" ht="12.75">
      <c r="A31" s="34" t="s">
        <v>72</v>
      </c>
    </row>
    <row r="32" spans="5:11" ht="12.75">
      <c r="E32" t="s">
        <v>16</v>
      </c>
      <c r="I32" s="9" t="s">
        <v>16</v>
      </c>
      <c r="J32" s="9" t="s">
        <v>14</v>
      </c>
      <c r="K32" s="9" t="s">
        <v>73</v>
      </c>
    </row>
    <row r="33" spans="4:11" ht="12.75">
      <c r="D33">
        <v>2011</v>
      </c>
      <c r="E33">
        <v>800</v>
      </c>
      <c r="H33">
        <v>2011</v>
      </c>
      <c r="I33" s="35">
        <v>800</v>
      </c>
      <c r="J33" s="35">
        <v>2192</v>
      </c>
      <c r="K33" s="36">
        <v>5.72</v>
      </c>
    </row>
    <row r="34" spans="4:11" ht="14.25">
      <c r="D34">
        <v>2012</v>
      </c>
      <c r="E34">
        <v>180</v>
      </c>
      <c r="H34">
        <v>2012</v>
      </c>
      <c r="I34" s="35">
        <v>180</v>
      </c>
      <c r="J34" s="35">
        <v>1978</v>
      </c>
      <c r="K34" s="36">
        <v>5.72</v>
      </c>
    </row>
    <row r="35" spans="9:11" ht="14.25">
      <c r="I35" s="35"/>
      <c r="J35" s="35"/>
      <c r="K35" s="36"/>
    </row>
    <row r="37" ht="12.75">
      <c r="F37" s="37" t="s">
        <v>74</v>
      </c>
    </row>
    <row r="38" spans="4:32" ht="12.75">
      <c r="D38" t="s">
        <v>75</v>
      </c>
      <c r="F38" s="38" t="s">
        <v>52</v>
      </c>
      <c r="G38" s="38" t="s">
        <v>53</v>
      </c>
      <c r="H38" s="38" t="s">
        <v>54</v>
      </c>
      <c r="I38" s="33" t="s">
        <v>55</v>
      </c>
      <c r="J38" s="33" t="s">
        <v>56</v>
      </c>
      <c r="K38" s="33" t="s">
        <v>57</v>
      </c>
      <c r="L38" s="33" t="s">
        <v>58</v>
      </c>
      <c r="M38" s="33" t="s">
        <v>59</v>
      </c>
      <c r="N38" s="33" t="s">
        <v>60</v>
      </c>
      <c r="O38" s="33" t="s">
        <v>61</v>
      </c>
      <c r="P38" s="33" t="s">
        <v>62</v>
      </c>
      <c r="Q38" s="33" t="s">
        <v>63</v>
      </c>
      <c r="R38" s="33" t="s">
        <v>64</v>
      </c>
      <c r="S38" s="33" t="s">
        <v>65</v>
      </c>
      <c r="T38" s="33" t="s">
        <v>66</v>
      </c>
      <c r="U38" s="33" t="s">
        <v>76</v>
      </c>
      <c r="V38" s="33" t="s">
        <v>77</v>
      </c>
      <c r="W38" s="33" t="s">
        <v>78</v>
      </c>
      <c r="X38" s="33" t="s">
        <v>79</v>
      </c>
      <c r="Y38" s="33" t="s">
        <v>80</v>
      </c>
      <c r="Z38" s="33" t="s">
        <v>81</v>
      </c>
      <c r="AA38" s="33" t="s">
        <v>82</v>
      </c>
      <c r="AB38" s="33" t="s">
        <v>83</v>
      </c>
      <c r="AC38" s="33" t="s">
        <v>84</v>
      </c>
      <c r="AD38" s="33" t="s">
        <v>85</v>
      </c>
      <c r="AE38" s="33" t="s">
        <v>86</v>
      </c>
      <c r="AF38" s="33" t="s">
        <v>87</v>
      </c>
    </row>
    <row r="39" spans="2:32" ht="15">
      <c r="B39" s="30" t="s">
        <v>88</v>
      </c>
      <c r="D39" s="37">
        <v>0</v>
      </c>
      <c r="E39" t="s">
        <v>89</v>
      </c>
      <c r="F39" s="1">
        <v>4000</v>
      </c>
      <c r="G39" s="23">
        <v>5400</v>
      </c>
      <c r="H39" s="39">
        <f>G39*L19/K19</f>
        <v>4844.233576642336</v>
      </c>
      <c r="I39" s="23">
        <f>H39*L19/K19</f>
        <v>4345.666471309073</v>
      </c>
      <c r="J39" s="23">
        <f>I39*M19/L19</f>
        <v>4045.111833342214</v>
      </c>
      <c r="K39" s="23">
        <f>J39*M19/L19</f>
        <v>3765.3441312803043</v>
      </c>
      <c r="L39" s="39">
        <f>K39*M19/L19</f>
        <v>3504.925700719828</v>
      </c>
      <c r="M39" s="23">
        <f>L39*N19/M19</f>
        <v>3317.5776180283783</v>
      </c>
      <c r="N39" s="23">
        <f>M39*O19/N19</f>
        <v>3170.97736035404</v>
      </c>
      <c r="O39" s="23">
        <f>N39*P19/O19</f>
        <v>3051.491256920409</v>
      </c>
      <c r="P39" s="39">
        <f>O39*Q19/P19</f>
        <v>2959.5788696637705</v>
      </c>
      <c r="Q39" s="23">
        <f>P39*R19/Q19</f>
        <v>2876.857721132795</v>
      </c>
      <c r="R39" s="23">
        <f>Q39*S19/R19</f>
        <v>2794.1365726018203</v>
      </c>
      <c r="S39" s="23">
        <f>R39*T19/S19</f>
        <v>2711.4154240708453</v>
      </c>
      <c r="T39" s="39">
        <f>S39*U19/T19</f>
        <v>2637.885514265534</v>
      </c>
      <c r="U39" s="23">
        <f>T39*V19/U19</f>
        <v>2568.622965297138</v>
      </c>
      <c r="V39" s="23">
        <f>U39*W19/V19</f>
        <v>2511.1777232617387</v>
      </c>
      <c r="W39" s="23">
        <f>V39*X19/W19</f>
        <v>2461.938944374254</v>
      </c>
      <c r="X39" s="39">
        <f>W39*Y19/X19</f>
        <v>2412.700165486769</v>
      </c>
      <c r="Y39" s="23">
        <f>X39*Z19/Y19</f>
        <v>2371.667849747198</v>
      </c>
      <c r="Z39" s="23">
        <f>Y39*AA19/Z19</f>
        <v>2338.8419971555413</v>
      </c>
      <c r="AA39" s="23">
        <f>Z39*AB19/AA19</f>
        <v>2314.222607711799</v>
      </c>
      <c r="AB39" s="39">
        <f>AA39*AC19/AB19</f>
        <v>2289.6032182680565</v>
      </c>
      <c r="AC39" s="23">
        <f>AB39*AD19/AC19</f>
        <v>2264.983828824314</v>
      </c>
      <c r="AD39" s="23">
        <f>AC39*AE19/AD19</f>
        <v>2240.3644393805716</v>
      </c>
      <c r="AE39" s="23">
        <f>AD39*AF19/AE19</f>
        <v>2215.745049936829</v>
      </c>
      <c r="AF39" s="39">
        <f>AE39*AG19/AF19</f>
        <v>2191.125660493087</v>
      </c>
    </row>
    <row r="40" spans="3:32" ht="12.75">
      <c r="C40" s="40">
        <v>2011</v>
      </c>
      <c r="D40" s="37">
        <v>3</v>
      </c>
      <c r="E40" s="40" t="s">
        <v>90</v>
      </c>
      <c r="F40" s="23">
        <f>$D40*F$19/2</f>
        <v>1876</v>
      </c>
      <c r="G40" s="23">
        <f>$D40*G$19/2</f>
        <v>1465.52</v>
      </c>
      <c r="H40" s="39">
        <f>$D40*H$19/2</f>
        <v>1223.04</v>
      </c>
      <c r="I40" s="23">
        <f>$D40*I$19/2</f>
        <v>1030.96</v>
      </c>
      <c r="J40" s="23">
        <f>$D40*J$19/2</f>
        <v>879.76</v>
      </c>
      <c r="K40" s="23">
        <f>$D40*K$19/2</f>
        <v>767.2</v>
      </c>
      <c r="L40" s="39">
        <f>$D40*L$19/2</f>
        <v>688.24</v>
      </c>
      <c r="M40" s="23">
        <f>$D40*M$19/2</f>
        <v>640.6400000000001</v>
      </c>
      <c r="N40" s="23">
        <f>$D40*N$19/2</f>
        <v>606.396</v>
      </c>
      <c r="O40" s="23">
        <f>$D40*O$19/2</f>
        <v>579.6</v>
      </c>
      <c r="P40" s="39">
        <f>$D40*P$19/2</f>
        <v>557.76</v>
      </c>
      <c r="Q40" s="23">
        <f>$D40*Q$19/2</f>
        <v>540.96</v>
      </c>
      <c r="R40" s="23">
        <f>$D40*R$19/2</f>
        <v>525.84</v>
      </c>
      <c r="S40" s="23">
        <f>$D40*S$19/2</f>
        <v>510.72</v>
      </c>
      <c r="T40" s="39">
        <f>$D40*T$19/2</f>
        <v>495.6</v>
      </c>
      <c r="U40" s="23">
        <f>$D40*U$19/2</f>
        <v>482.15999999999997</v>
      </c>
      <c r="V40" s="23">
        <f>$D40*V$19/2</f>
        <v>469.5</v>
      </c>
      <c r="W40" s="23">
        <f>$D40*W$19/2</f>
        <v>459</v>
      </c>
      <c r="X40" s="39">
        <f>$D40*X$19/2</f>
        <v>450</v>
      </c>
      <c r="Y40" s="23">
        <f>$D40*Y$19/2</f>
        <v>441</v>
      </c>
      <c r="Z40" s="23">
        <f>$D40*Z$19/2</f>
        <v>433.5</v>
      </c>
      <c r="AA40" s="23">
        <f>$D40*AA$19/2</f>
        <v>427.5</v>
      </c>
      <c r="AB40" s="39">
        <f>$D40*AB$19/2</f>
        <v>423</v>
      </c>
      <c r="AC40" s="23">
        <f>$D40*AC$19/2</f>
        <v>418.5</v>
      </c>
      <c r="AD40" s="23">
        <f>$D40*AD$19/2</f>
        <v>414</v>
      </c>
      <c r="AE40" s="23">
        <f>$D40*AE$19/2</f>
        <v>409.5</v>
      </c>
      <c r="AF40" s="39">
        <f>$D40*AF$19/2</f>
        <v>405</v>
      </c>
    </row>
    <row r="41" spans="3:32" ht="12.75">
      <c r="C41" s="40"/>
      <c r="D41" s="37">
        <v>2</v>
      </c>
      <c r="E41" s="40" t="s">
        <v>91</v>
      </c>
      <c r="F41" s="23">
        <f>$D41*F$19/2</f>
        <v>1250.6666666666667</v>
      </c>
      <c r="G41" s="23">
        <f>$D41*G$19/2</f>
        <v>977.0133333333333</v>
      </c>
      <c r="H41" s="39">
        <f>$D41*H$19/2</f>
        <v>815.36</v>
      </c>
      <c r="I41" s="23">
        <f>$D41*I$19/2</f>
        <v>687.3066666666667</v>
      </c>
      <c r="J41" s="23">
        <f>$D41*J$19/2</f>
        <v>586.5066666666667</v>
      </c>
      <c r="K41" s="23">
        <f>$D41*K$19/2</f>
        <v>511.4666666666667</v>
      </c>
      <c r="L41" s="39">
        <f>$D41*L$19/2</f>
        <v>458.82666666666665</v>
      </c>
      <c r="M41" s="23">
        <f>$D41*M$19/2</f>
        <v>427.0933333333334</v>
      </c>
      <c r="N41" s="23">
        <f>$D41*N$19/2</f>
        <v>404.26399999999995</v>
      </c>
      <c r="O41" s="23">
        <f>$D41*O$19</f>
        <v>772.8000000000001</v>
      </c>
      <c r="P41" s="39">
        <f>$D41*P$19</f>
        <v>743.68</v>
      </c>
      <c r="Q41" s="23">
        <f>$D41*Q$19</f>
        <v>721.2800000000001</v>
      </c>
      <c r="R41" s="23">
        <f>$D41*R$19</f>
        <v>701.12</v>
      </c>
      <c r="S41" s="23">
        <f>$D41*S$19</f>
        <v>680.96</v>
      </c>
      <c r="T41" s="39">
        <f>$D41*T$19</f>
        <v>660.8000000000001</v>
      </c>
      <c r="U41" s="23">
        <f>$D41*U$19</f>
        <v>642.88</v>
      </c>
      <c r="V41" s="23">
        <f>$D41*V$19</f>
        <v>626</v>
      </c>
      <c r="W41" s="23">
        <f>$D41*W$19</f>
        <v>612</v>
      </c>
      <c r="X41" s="39">
        <f>$D41*X$19</f>
        <v>600</v>
      </c>
      <c r="Y41" s="23">
        <f>$D41*Y$19</f>
        <v>588</v>
      </c>
      <c r="Z41" s="23">
        <f>$D41*Z$19</f>
        <v>578</v>
      </c>
      <c r="AA41" s="23">
        <f>$D41*AA$19</f>
        <v>570</v>
      </c>
      <c r="AB41" s="39">
        <f>$D41*AB$19</f>
        <v>564</v>
      </c>
      <c r="AC41" s="23">
        <f>$D41*AC$19</f>
        <v>558</v>
      </c>
      <c r="AD41" s="23">
        <f>$D41*AD$19</f>
        <v>552</v>
      </c>
      <c r="AE41" s="23">
        <f>$D41*AE$19</f>
        <v>546</v>
      </c>
      <c r="AF41" s="39">
        <f>$D41*AF$19</f>
        <v>540</v>
      </c>
    </row>
    <row r="42" spans="3:32" ht="12.75">
      <c r="C42" s="41" t="s">
        <v>92</v>
      </c>
      <c r="D42" s="1">
        <v>7</v>
      </c>
      <c r="E42" s="40" t="s">
        <v>91</v>
      </c>
      <c r="G42" s="23">
        <f>$D42*F$19/2</f>
        <v>4377.333333333334</v>
      </c>
      <c r="H42" s="39">
        <f>$D42*G$19/2</f>
        <v>3419.5466666666666</v>
      </c>
      <c r="I42" s="23">
        <f>$D42*H$19/2</f>
        <v>2853.76</v>
      </c>
      <c r="J42" s="23">
        <f>$D42*I$19/2</f>
        <v>2405.5733333333337</v>
      </c>
      <c r="K42" s="23">
        <f>$D42*J$19/2</f>
        <v>2052.7733333333335</v>
      </c>
      <c r="L42" s="39">
        <f>$D42*K$19/2</f>
        <v>1790.1333333333334</v>
      </c>
      <c r="M42" s="23">
        <f>$D42*L$19/2</f>
        <v>1605.8933333333332</v>
      </c>
      <c r="N42" s="23">
        <f>$D42*M$19/2</f>
        <v>1494.826666666667</v>
      </c>
      <c r="O42" s="23">
        <f>$D42*N$19/2</f>
        <v>1414.9239999999998</v>
      </c>
      <c r="P42" s="39">
        <f>$D42*O$19/2</f>
        <v>1352.4</v>
      </c>
      <c r="Q42" s="23">
        <f>$D42*P$19/2</f>
        <v>1301.4399999999998</v>
      </c>
      <c r="R42" s="23">
        <f>$D42*Q$19/2</f>
        <v>1262.2400000000002</v>
      </c>
      <c r="S42" s="23">
        <f>$D42*R$19/2</f>
        <v>1226.96</v>
      </c>
      <c r="T42" s="39">
        <f>$D42*S$19/2</f>
        <v>1191.68</v>
      </c>
      <c r="U42" s="23">
        <f>$D42*T$19/2</f>
        <v>1156.4</v>
      </c>
      <c r="V42" s="23">
        <f>$D42*U$19/2</f>
        <v>1125.04</v>
      </c>
      <c r="W42" s="23">
        <f>$D42*V$19/2</f>
        <v>1095.5</v>
      </c>
      <c r="X42" s="39">
        <f>$D42*W$19/2</f>
        <v>1071</v>
      </c>
      <c r="Y42" s="23">
        <f>$D42*X$19/2</f>
        <v>1050</v>
      </c>
      <c r="Z42" s="23">
        <f>$D42*Y$19/2</f>
        <v>1029</v>
      </c>
      <c r="AA42" s="23">
        <f>$D42*Z$19/2</f>
        <v>1011.5</v>
      </c>
      <c r="AB42" s="39">
        <f>$D42*AA$19/2</f>
        <v>997.5</v>
      </c>
      <c r="AC42" s="23">
        <f>$D42*AB$19/2</f>
        <v>987</v>
      </c>
      <c r="AD42" s="23">
        <f>$D42*AC$19/2</f>
        <v>976.5</v>
      </c>
      <c r="AE42" s="23">
        <f>$D42*AD$19/2</f>
        <v>966</v>
      </c>
      <c r="AF42" s="39">
        <f>$D42*AE$19/2</f>
        <v>955.5</v>
      </c>
    </row>
    <row r="43" spans="3:32" ht="12.75">
      <c r="C43" s="42">
        <f>(SUM(D42:D43))*1.3</f>
        <v>20.8</v>
      </c>
      <c r="D43" s="43">
        <v>9</v>
      </c>
      <c r="E43" s="40" t="s">
        <v>91</v>
      </c>
      <c r="H43" s="44">
        <f>$D43*F$19-F$19*4.5</f>
        <v>5628</v>
      </c>
      <c r="I43" s="45">
        <f>$D43*G$19-G$19*4.5</f>
        <v>4396.5599999999995</v>
      </c>
      <c r="J43" s="45">
        <f>$D43*H$19-H$19*4.5</f>
        <v>3669.12</v>
      </c>
      <c r="K43" s="45">
        <f>$D43*I$19-I$19*4.5</f>
        <v>3092.88</v>
      </c>
      <c r="L43" s="44">
        <f>$D43*J$19-J$19*4.5</f>
        <v>2639.2799999999997</v>
      </c>
      <c r="M43" s="45">
        <f>$D43*K$19-K$19*4.5</f>
        <v>2301.6000000000004</v>
      </c>
      <c r="N43" s="45">
        <f>$D43*L$19-L$19*4.5</f>
        <v>2064.72</v>
      </c>
      <c r="O43" s="45">
        <f>$D43*M$19-M$19*4.5</f>
        <v>1921.9200000000003</v>
      </c>
      <c r="P43" s="44">
        <f>$D43*N$19-N$19*4.5</f>
        <v>1819.1879999999999</v>
      </c>
      <c r="Q43" s="45">
        <f>$D43*O$19-O$19*4.5</f>
        <v>1738.8000000000002</v>
      </c>
      <c r="R43" s="45">
        <f>$D43*P$19-P$19*4.5</f>
        <v>1673.28</v>
      </c>
      <c r="S43" s="45">
        <f>$D43*Q$19-Q$19*4.5</f>
        <v>1622.88</v>
      </c>
      <c r="T43" s="44">
        <f>$D43*R$19-R$19*4.5</f>
        <v>1577.52</v>
      </c>
      <c r="U43" s="45">
        <f>$D43*S$19-S$19*4.5</f>
        <v>1532.16</v>
      </c>
      <c r="V43" s="45">
        <f>$D43*T$19-T$19*4.5</f>
        <v>1486.8000000000002</v>
      </c>
      <c r="W43" s="45">
        <f>$D43*U$19-U$19*4.5</f>
        <v>1446.48</v>
      </c>
      <c r="X43" s="44">
        <f>$D43*V$19-V$19*4.5</f>
        <v>1408.5</v>
      </c>
      <c r="Y43" s="45">
        <f>$D43*W$19-W$19*4.5</f>
        <v>1377</v>
      </c>
      <c r="Z43" s="45">
        <f>$D43*X$19-X$19*4.5</f>
        <v>1350</v>
      </c>
      <c r="AA43" s="45">
        <f>$D43*Y$19-Y$19*4.5</f>
        <v>1323</v>
      </c>
      <c r="AB43" s="44">
        <f>$D43*Z$19-Z$19*4.5</f>
        <v>1300.5</v>
      </c>
      <c r="AC43" s="45">
        <f>$D43*AA$19-AA$19*4.5</f>
        <v>1282.5</v>
      </c>
      <c r="AD43" s="45">
        <f>$D43*AB$19-AB$19*4.5</f>
        <v>1269</v>
      </c>
      <c r="AE43" s="45">
        <f>$D43*AC$19-AC$19*4.5</f>
        <v>1255.5</v>
      </c>
      <c r="AF43" s="44">
        <f>$D43*AD$19-AD$19*4.5</f>
        <v>1242</v>
      </c>
    </row>
    <row r="44" spans="3:32" ht="12.75">
      <c r="C44" s="40">
        <v>2012</v>
      </c>
      <c r="D44" s="46">
        <v>2</v>
      </c>
      <c r="I44" s="23">
        <f>$D44*F$19</f>
        <v>2501.3333333333335</v>
      </c>
      <c r="J44" s="23">
        <f>$D44*G$19</f>
        <v>1954.0266666666666</v>
      </c>
      <c r="K44" s="23">
        <f>$D44*H$19</f>
        <v>1630.72</v>
      </c>
      <c r="L44" s="39">
        <f>$D44*I$19</f>
        <v>1374.6133333333335</v>
      </c>
      <c r="M44" s="23">
        <f>$D44*J$19</f>
        <v>1173.0133333333333</v>
      </c>
      <c r="N44" s="23">
        <f>$D44*K$19</f>
        <v>1022.9333333333334</v>
      </c>
      <c r="O44" s="23">
        <f>$D44*L$19</f>
        <v>917.6533333333333</v>
      </c>
      <c r="P44" s="39">
        <f>$D44*M$19</f>
        <v>854.1866666666668</v>
      </c>
      <c r="Q44" s="23">
        <f>$D44*N$19</f>
        <v>808.5279999999999</v>
      </c>
      <c r="R44" s="23">
        <f>$D44*O$19</f>
        <v>772.8000000000001</v>
      </c>
      <c r="S44" s="23">
        <f>$D44*P$19</f>
        <v>743.68</v>
      </c>
      <c r="T44" s="39">
        <f>$D44*Q$19</f>
        <v>721.2800000000001</v>
      </c>
      <c r="U44" s="23">
        <f>$D44*R$19</f>
        <v>701.12</v>
      </c>
      <c r="V44" s="23">
        <f>$D44*S$19</f>
        <v>680.96</v>
      </c>
      <c r="W44" s="23">
        <f>$D44*T$19</f>
        <v>660.8000000000001</v>
      </c>
      <c r="X44" s="39">
        <f>$D44*U$19</f>
        <v>642.88</v>
      </c>
      <c r="Y44" s="23">
        <f>$D44*V$19</f>
        <v>626</v>
      </c>
      <c r="Z44" s="23">
        <f>$D44*W$19</f>
        <v>612</v>
      </c>
      <c r="AA44" s="23">
        <f>$D44*X$19</f>
        <v>600</v>
      </c>
      <c r="AB44" s="39">
        <f>$D44*Y$19</f>
        <v>588</v>
      </c>
      <c r="AC44" s="23">
        <f>$D44*Z$19</f>
        <v>578</v>
      </c>
      <c r="AD44" s="23">
        <f>$D44*AA$19</f>
        <v>570</v>
      </c>
      <c r="AE44" s="23">
        <f>$D44*AB$19</f>
        <v>564</v>
      </c>
      <c r="AF44" s="39">
        <f>$D44*AC$19</f>
        <v>558</v>
      </c>
    </row>
    <row r="45" spans="4:32" ht="12.75">
      <c r="D45" s="46">
        <v>6</v>
      </c>
      <c r="J45" s="23">
        <f>$D45*F$19</f>
        <v>7504</v>
      </c>
      <c r="K45" s="23">
        <f>$D45*G$19</f>
        <v>5862.08</v>
      </c>
      <c r="L45" s="39">
        <f>$D45*H$19</f>
        <v>4892.16</v>
      </c>
      <c r="M45" s="23">
        <f>$D45*I$19</f>
        <v>4123.84</v>
      </c>
      <c r="N45" s="23">
        <f>$D45*J$19</f>
        <v>3519.04</v>
      </c>
      <c r="O45" s="23">
        <f>$D45*K$19</f>
        <v>3068.8</v>
      </c>
      <c r="P45" s="39">
        <f>$D45*L$19</f>
        <v>2752.96</v>
      </c>
      <c r="Q45" s="23">
        <f>$D45*M$19</f>
        <v>2562.5600000000004</v>
      </c>
      <c r="R45" s="23">
        <f>$D45*N$19</f>
        <v>2425.584</v>
      </c>
      <c r="S45" s="23">
        <f>$D45*O$19</f>
        <v>2318.4</v>
      </c>
      <c r="T45" s="39">
        <f>$D45*P$19</f>
        <v>2231.04</v>
      </c>
      <c r="U45" s="23">
        <f>$D45*Q$19</f>
        <v>2163.84</v>
      </c>
      <c r="V45" s="23">
        <f>$D45*R$19</f>
        <v>2103.36</v>
      </c>
      <c r="W45" s="23">
        <f>$D45*S$19</f>
        <v>2042.88</v>
      </c>
      <c r="X45" s="39">
        <f>$D45*T$19</f>
        <v>1982.4</v>
      </c>
      <c r="Y45" s="23">
        <f>$D45*U$19</f>
        <v>1928.6399999999999</v>
      </c>
      <c r="Z45" s="23">
        <f>$D45*V$19</f>
        <v>1878</v>
      </c>
      <c r="AA45" s="23">
        <f>$D45*W$19</f>
        <v>1836</v>
      </c>
      <c r="AB45" s="39">
        <f>$D45*X$19</f>
        <v>1800</v>
      </c>
      <c r="AC45" s="23">
        <f>$D45*Y$19</f>
        <v>1764</v>
      </c>
      <c r="AD45" s="23">
        <f>$D45*Z$19</f>
        <v>1734</v>
      </c>
      <c r="AE45" s="23">
        <f>$D45*AA$19</f>
        <v>1710</v>
      </c>
      <c r="AF45" s="39">
        <f>$D45*AB$19</f>
        <v>1692</v>
      </c>
    </row>
    <row r="46" spans="4:32" ht="12.75">
      <c r="D46" s="46">
        <v>12</v>
      </c>
      <c r="K46" s="23">
        <f>$D46*F$19</f>
        <v>15008</v>
      </c>
      <c r="L46" s="39">
        <f>$D46*G$19</f>
        <v>11724.16</v>
      </c>
      <c r="M46" s="23">
        <f>$D46*H$19</f>
        <v>9784.32</v>
      </c>
      <c r="N46" s="23">
        <f>$D46*I$19</f>
        <v>8247.68</v>
      </c>
      <c r="O46" s="23">
        <f>$D46*J$19</f>
        <v>7038.08</v>
      </c>
      <c r="P46" s="39">
        <f>$D46*K$19</f>
        <v>6137.6</v>
      </c>
      <c r="Q46" s="23">
        <f>$D46*L$19</f>
        <v>5505.92</v>
      </c>
      <c r="R46" s="23">
        <f>$D46*M$19</f>
        <v>5125.120000000001</v>
      </c>
      <c r="S46" s="23">
        <f>$D46*N$19</f>
        <v>4851.168</v>
      </c>
      <c r="T46" s="39">
        <f>$D46*O$19</f>
        <v>4636.8</v>
      </c>
      <c r="U46" s="23">
        <f>$D46*P$19</f>
        <v>4462.08</v>
      </c>
      <c r="V46" s="23">
        <f>$D46*Q$19</f>
        <v>4327.68</v>
      </c>
      <c r="W46" s="23">
        <f>$D46*R$19</f>
        <v>4206.72</v>
      </c>
      <c r="X46" s="39">
        <f>$D46*S$19</f>
        <v>4085.76</v>
      </c>
      <c r="Y46" s="23">
        <f>$D46*T$19</f>
        <v>3964.8</v>
      </c>
      <c r="Z46" s="23">
        <f>$D46*U$19</f>
        <v>3857.2799999999997</v>
      </c>
      <c r="AA46" s="23">
        <f>$D46*V$19</f>
        <v>3756</v>
      </c>
      <c r="AB46" s="39">
        <f>$D46*W$19</f>
        <v>3672</v>
      </c>
      <c r="AC46" s="23">
        <f>$D46*X$19</f>
        <v>3600</v>
      </c>
      <c r="AD46" s="23">
        <f>$D46*Y$19</f>
        <v>3528</v>
      </c>
      <c r="AE46" s="23">
        <f>$D46*Z$19</f>
        <v>3468</v>
      </c>
      <c r="AF46" s="39">
        <f>$D46*AA$19</f>
        <v>3420</v>
      </c>
    </row>
    <row r="47" spans="3:32" ht="12.75">
      <c r="C47" s="42">
        <f>(SUM(D44:D47))*1.3</f>
        <v>41.6</v>
      </c>
      <c r="D47" s="46">
        <v>12</v>
      </c>
      <c r="L47" s="44">
        <f>$D47*F$19</f>
        <v>15008</v>
      </c>
      <c r="M47" s="45">
        <f>$D47*G$19</f>
        <v>11724.16</v>
      </c>
      <c r="N47" s="45">
        <f>$D47*H$19</f>
        <v>9784.32</v>
      </c>
      <c r="O47" s="45">
        <f>$D47*I$19</f>
        <v>8247.68</v>
      </c>
      <c r="P47" s="44">
        <f>$D47*J$19</f>
        <v>7038.08</v>
      </c>
      <c r="Q47" s="45">
        <f>$D47*K$19</f>
        <v>6137.6</v>
      </c>
      <c r="R47" s="45">
        <f>$D47*L$19</f>
        <v>5505.92</v>
      </c>
      <c r="S47" s="45">
        <f>$D47*M$19</f>
        <v>5125.120000000001</v>
      </c>
      <c r="T47" s="44">
        <f>$D47*N$19</f>
        <v>4851.168</v>
      </c>
      <c r="U47" s="45">
        <f>$D47*O$19</f>
        <v>4636.8</v>
      </c>
      <c r="V47" s="45">
        <f>$D47*P$19</f>
        <v>4462.08</v>
      </c>
      <c r="W47" s="45">
        <f>$D47*Q$19</f>
        <v>4327.68</v>
      </c>
      <c r="X47" s="44">
        <f>$D47*R$19</f>
        <v>4206.72</v>
      </c>
      <c r="Y47" s="45">
        <f>$D47*S$19</f>
        <v>4085.76</v>
      </c>
      <c r="Z47" s="45">
        <f>$D47*T$19</f>
        <v>3964.8</v>
      </c>
      <c r="AA47" s="45">
        <f>$D47*U$19</f>
        <v>3857.2799999999997</v>
      </c>
      <c r="AB47" s="44">
        <f>$D47*V$19</f>
        <v>3756</v>
      </c>
      <c r="AC47" s="45">
        <f>$D47*W$19</f>
        <v>3672</v>
      </c>
      <c r="AD47" s="45">
        <f>$D47*X$19</f>
        <v>3600</v>
      </c>
      <c r="AE47" s="45">
        <f>$D47*Y$19</f>
        <v>3528</v>
      </c>
      <c r="AF47" s="44">
        <f>$D47*Z$19</f>
        <v>3468</v>
      </c>
    </row>
    <row r="48" spans="3:32" ht="12.75">
      <c r="C48" s="40">
        <v>2013</v>
      </c>
      <c r="D48" s="46">
        <v>2</v>
      </c>
      <c r="J48" s="40"/>
      <c r="M48" s="23">
        <f>$D48*F$19</f>
        <v>2501.3333333333335</v>
      </c>
      <c r="N48" s="23">
        <f>$D48*G$19</f>
        <v>1954.0266666666666</v>
      </c>
      <c r="O48" s="23">
        <f>$D48*H$19</f>
        <v>1630.72</v>
      </c>
      <c r="P48" s="39">
        <f>$D48*I$19</f>
        <v>1374.6133333333335</v>
      </c>
      <c r="Q48" s="23">
        <f>$D48*J$19</f>
        <v>1173.0133333333333</v>
      </c>
      <c r="R48" s="23">
        <f>$D48*K$19</f>
        <v>1022.9333333333334</v>
      </c>
      <c r="S48" s="23">
        <f>$D48*L$19</f>
        <v>917.6533333333333</v>
      </c>
      <c r="T48" s="39">
        <f>$D48*M$19</f>
        <v>854.1866666666668</v>
      </c>
      <c r="U48" s="23">
        <f>$D48*N$19</f>
        <v>808.5279999999999</v>
      </c>
      <c r="V48" s="23">
        <f>$D48*O$19</f>
        <v>772.8000000000001</v>
      </c>
      <c r="W48" s="23">
        <f>$D48*P$19</f>
        <v>743.68</v>
      </c>
      <c r="X48" s="39">
        <f>$D48*Q$19</f>
        <v>721.2800000000001</v>
      </c>
      <c r="Y48" s="23">
        <f>$D48*R$19</f>
        <v>701.12</v>
      </c>
      <c r="Z48" s="23">
        <f>$D48*S$19</f>
        <v>680.96</v>
      </c>
      <c r="AA48" s="23">
        <f>$D48*T$19</f>
        <v>660.8000000000001</v>
      </c>
      <c r="AB48" s="39">
        <f>$D48*U$19</f>
        <v>642.88</v>
      </c>
      <c r="AC48" s="23">
        <f>$D48*V$19</f>
        <v>626</v>
      </c>
      <c r="AD48" s="23">
        <f>$D48*W$19</f>
        <v>612</v>
      </c>
      <c r="AE48" s="23">
        <f>$D48*X$19</f>
        <v>600</v>
      </c>
      <c r="AF48" s="39">
        <f>$D48*Y$19</f>
        <v>588</v>
      </c>
    </row>
    <row r="49" spans="4:32" ht="12.75">
      <c r="D49" s="46">
        <v>6</v>
      </c>
      <c r="N49" s="23">
        <f>$D49*F$19</f>
        <v>7504</v>
      </c>
      <c r="O49" s="23">
        <f>$D49*G$19</f>
        <v>5862.08</v>
      </c>
      <c r="P49" s="39">
        <f>$D49*H$19</f>
        <v>4892.16</v>
      </c>
      <c r="Q49" s="23">
        <f>$D49*I$19</f>
        <v>4123.84</v>
      </c>
      <c r="R49" s="23">
        <f>$D49*J$19</f>
        <v>3519.04</v>
      </c>
      <c r="S49" s="23">
        <f>$D49*K$19</f>
        <v>3068.8</v>
      </c>
      <c r="T49" s="39">
        <f>$D49*L$19</f>
        <v>2752.96</v>
      </c>
      <c r="U49" s="23">
        <f>$D49*M$19</f>
        <v>2562.5600000000004</v>
      </c>
      <c r="V49" s="23">
        <f>$D49*N$19</f>
        <v>2425.584</v>
      </c>
      <c r="W49" s="23">
        <f>$D49*O$19</f>
        <v>2318.4</v>
      </c>
      <c r="X49" s="39">
        <f>$D49*P$19</f>
        <v>2231.04</v>
      </c>
      <c r="Y49" s="23">
        <f>$D49*Q$19</f>
        <v>2163.84</v>
      </c>
      <c r="Z49" s="23">
        <f>$D49*R$19</f>
        <v>2103.36</v>
      </c>
      <c r="AA49" s="23">
        <f>$D49*S$19</f>
        <v>2042.88</v>
      </c>
      <c r="AB49" s="39">
        <f>$D49*T$19</f>
        <v>1982.4</v>
      </c>
      <c r="AC49" s="23">
        <f>$D49*U$19</f>
        <v>1928.6399999999999</v>
      </c>
      <c r="AD49" s="23">
        <f>$D49*V$19</f>
        <v>1878</v>
      </c>
      <c r="AE49" s="23">
        <f>$D49*W$19</f>
        <v>1836</v>
      </c>
      <c r="AF49" s="39">
        <f>$D49*X$19</f>
        <v>1800</v>
      </c>
    </row>
    <row r="50" spans="4:32" ht="12.75">
      <c r="D50" s="46">
        <v>12</v>
      </c>
      <c r="O50" s="23">
        <f>$D50*F$19</f>
        <v>15008</v>
      </c>
      <c r="P50" s="39">
        <f>$D50*G$19</f>
        <v>11724.16</v>
      </c>
      <c r="Q50" s="23">
        <f>$D50*H$19</f>
        <v>9784.32</v>
      </c>
      <c r="R50" s="23">
        <f>$D50*I$19</f>
        <v>8247.68</v>
      </c>
      <c r="S50" s="23">
        <f>$D50*J$19</f>
        <v>7038.08</v>
      </c>
      <c r="T50" s="39">
        <f>$D50*K$19</f>
        <v>6137.6</v>
      </c>
      <c r="U50" s="23">
        <f>$D50*L$19</f>
        <v>5505.92</v>
      </c>
      <c r="V50" s="23">
        <f>$D50*M$19</f>
        <v>5125.120000000001</v>
      </c>
      <c r="W50" s="23">
        <f>$D50*N$19</f>
        <v>4851.168</v>
      </c>
      <c r="X50" s="39">
        <f>$D50*O$19</f>
        <v>4636.8</v>
      </c>
      <c r="Y50" s="23">
        <f>$D50*P$19</f>
        <v>4462.08</v>
      </c>
      <c r="Z50" s="23">
        <f>$D50*Q$19</f>
        <v>4327.68</v>
      </c>
      <c r="AA50" s="23">
        <f>$D50*R$19</f>
        <v>4206.72</v>
      </c>
      <c r="AB50" s="39">
        <f>$D50*S$19</f>
        <v>4085.76</v>
      </c>
      <c r="AC50" s="23">
        <f>$D50*T$19</f>
        <v>3964.8</v>
      </c>
      <c r="AD50" s="23">
        <f>$D50*U$19</f>
        <v>3857.2799999999997</v>
      </c>
      <c r="AE50" s="23">
        <f>$D50*V$19</f>
        <v>3756</v>
      </c>
      <c r="AF50" s="39">
        <f>$D50*W$19</f>
        <v>3672</v>
      </c>
    </row>
    <row r="51" spans="3:32" ht="12.75">
      <c r="C51" s="42">
        <f>(SUM(D48:D51))*1.3</f>
        <v>41.6</v>
      </c>
      <c r="D51" s="46">
        <v>12</v>
      </c>
      <c r="P51" s="44">
        <f>$D51*F$19</f>
        <v>15008</v>
      </c>
      <c r="Q51" s="45">
        <f>$D51*G$19</f>
        <v>11724.16</v>
      </c>
      <c r="R51" s="45">
        <f>$D51*H$19</f>
        <v>9784.32</v>
      </c>
      <c r="S51" s="45">
        <f>$D51*I$19</f>
        <v>8247.68</v>
      </c>
      <c r="T51" s="44">
        <f>$D51*J$19</f>
        <v>7038.08</v>
      </c>
      <c r="U51" s="45">
        <f>$D51*K$19</f>
        <v>6137.6</v>
      </c>
      <c r="V51" s="45">
        <f>$D51*L$19</f>
        <v>5505.92</v>
      </c>
      <c r="W51" s="45">
        <f>$D51*M$19</f>
        <v>5125.120000000001</v>
      </c>
      <c r="X51" s="44">
        <f>$D51*N$19</f>
        <v>4851.168</v>
      </c>
      <c r="Y51" s="45">
        <f>$D51*O$19</f>
        <v>4636.8</v>
      </c>
      <c r="Z51" s="45">
        <f>$D51*P$19</f>
        <v>4462.08</v>
      </c>
      <c r="AA51" s="45">
        <f>$D51*Q$19</f>
        <v>4327.68</v>
      </c>
      <c r="AB51" s="44">
        <f>$D51*R$19</f>
        <v>4206.72</v>
      </c>
      <c r="AC51" s="45">
        <f>$D51*S$19</f>
        <v>4085.76</v>
      </c>
      <c r="AD51" s="45">
        <f>$D51*T$19</f>
        <v>3964.8</v>
      </c>
      <c r="AE51" s="45">
        <f>$D51*U$19</f>
        <v>3857.2799999999997</v>
      </c>
      <c r="AF51" s="44">
        <f>$D51*V$19</f>
        <v>3756</v>
      </c>
    </row>
    <row r="52" spans="3:32" ht="12.75">
      <c r="C52" s="40">
        <v>2014</v>
      </c>
      <c r="D52" s="46">
        <v>2</v>
      </c>
      <c r="Q52" s="23">
        <f>$D52*F$19</f>
        <v>2501.3333333333335</v>
      </c>
      <c r="R52" s="23">
        <f>$D52*G$19</f>
        <v>1954.0266666666666</v>
      </c>
      <c r="S52" s="23">
        <f>$D52*H$19</f>
        <v>1630.72</v>
      </c>
      <c r="T52" s="39">
        <f>$D52*I$19</f>
        <v>1374.6133333333335</v>
      </c>
      <c r="U52" s="23">
        <f>$D52*J$19</f>
        <v>1173.0133333333333</v>
      </c>
      <c r="V52" s="23">
        <f>$D52*K$19</f>
        <v>1022.9333333333334</v>
      </c>
      <c r="W52" s="23">
        <f>$D52*L$19</f>
        <v>917.6533333333333</v>
      </c>
      <c r="X52" s="39">
        <f>$D52*M$19</f>
        <v>854.1866666666668</v>
      </c>
      <c r="Y52" s="23">
        <f>$D52*N$19</f>
        <v>808.5279999999999</v>
      </c>
      <c r="Z52" s="23">
        <f>$D52*O$19</f>
        <v>772.8000000000001</v>
      </c>
      <c r="AA52" s="23">
        <f>$D52*P$19</f>
        <v>743.68</v>
      </c>
      <c r="AB52" s="39">
        <f>$D52*Q$19</f>
        <v>721.2800000000001</v>
      </c>
      <c r="AC52" s="23">
        <f>$D52*R$19</f>
        <v>701.12</v>
      </c>
      <c r="AD52" s="23">
        <f>$D52*S$19</f>
        <v>680.96</v>
      </c>
      <c r="AE52" s="23">
        <f>$D52*T$19</f>
        <v>660.8000000000001</v>
      </c>
      <c r="AF52" s="39">
        <f>$D52*U$19</f>
        <v>642.88</v>
      </c>
    </row>
    <row r="53" spans="4:32" ht="12.75">
      <c r="D53" s="46">
        <v>10</v>
      </c>
      <c r="R53" s="23">
        <f>$D53*F$19</f>
        <v>12506.666666666668</v>
      </c>
      <c r="S53" s="23">
        <f>$D53*G$19</f>
        <v>9770.133333333333</v>
      </c>
      <c r="T53" s="39">
        <f>$D53*H$19</f>
        <v>8153.6</v>
      </c>
      <c r="U53" s="23">
        <f>$D53*I$19</f>
        <v>6873.0666666666675</v>
      </c>
      <c r="V53" s="23">
        <f>$D53*J$19</f>
        <v>5865.066666666667</v>
      </c>
      <c r="W53" s="23">
        <f>$D53*K$19</f>
        <v>5114.666666666667</v>
      </c>
      <c r="X53" s="39">
        <f>$D53*L$19</f>
        <v>4588.266666666666</v>
      </c>
      <c r="Y53" s="23">
        <f>$D53*M$19</f>
        <v>4270.933333333334</v>
      </c>
      <c r="Z53" s="23">
        <f>$D53*N$19</f>
        <v>4042.6399999999994</v>
      </c>
      <c r="AA53" s="23">
        <f>$D53*O$19</f>
        <v>3864.0000000000005</v>
      </c>
      <c r="AB53" s="39">
        <f>$D53*P$19</f>
        <v>3718.3999999999996</v>
      </c>
      <c r="AC53" s="23">
        <f>$D53*Q$19</f>
        <v>3606.4000000000005</v>
      </c>
      <c r="AD53" s="23">
        <f>$D53*R$19</f>
        <v>3505.6</v>
      </c>
      <c r="AE53" s="23">
        <f>$D53*S$19</f>
        <v>3404.8</v>
      </c>
      <c r="AF53" s="39">
        <f>$D53*T$19</f>
        <v>3304.0000000000005</v>
      </c>
    </row>
    <row r="54" spans="4:32" ht="12.75">
      <c r="D54" s="46">
        <v>12</v>
      </c>
      <c r="S54" s="23">
        <f>$D54*F$19</f>
        <v>15008</v>
      </c>
      <c r="T54" s="39">
        <f>$D54*G$19</f>
        <v>11724.16</v>
      </c>
      <c r="U54" s="23">
        <f>$D54*H$19</f>
        <v>9784.32</v>
      </c>
      <c r="V54" s="23">
        <f>$D54*I$19</f>
        <v>8247.68</v>
      </c>
      <c r="W54" s="23">
        <f>$D54*J$19</f>
        <v>7038.08</v>
      </c>
      <c r="X54" s="39">
        <f>$D54*K$19</f>
        <v>6137.6</v>
      </c>
      <c r="Y54" s="23">
        <f>$D54*L$19</f>
        <v>5505.92</v>
      </c>
      <c r="Z54" s="23">
        <f>$D54*M$19</f>
        <v>5125.120000000001</v>
      </c>
      <c r="AA54" s="23">
        <f>$D54*N$19</f>
        <v>4851.168</v>
      </c>
      <c r="AB54" s="39">
        <f>$D54*O$19</f>
        <v>4636.8</v>
      </c>
      <c r="AC54" s="23">
        <f>$D54*P$19</f>
        <v>4462.08</v>
      </c>
      <c r="AD54" s="23">
        <f>$D54*Q$19</f>
        <v>4327.68</v>
      </c>
      <c r="AE54" s="23">
        <f>$D54*R$19</f>
        <v>4206.72</v>
      </c>
      <c r="AF54" s="39">
        <f>$D54*S$19</f>
        <v>4085.76</v>
      </c>
    </row>
    <row r="55" spans="3:32" ht="12.75">
      <c r="C55" s="42">
        <f>(SUM(D52:D55))*1.3</f>
        <v>46.800000000000004</v>
      </c>
      <c r="D55" s="32">
        <v>12</v>
      </c>
      <c r="P55" s="32"/>
      <c r="Q55" s="32"/>
      <c r="R55" s="32"/>
      <c r="S55" s="32"/>
      <c r="T55" s="44">
        <f>$D55*F$19</f>
        <v>15008</v>
      </c>
      <c r="U55" s="45">
        <f>$D55*G$19</f>
        <v>11724.16</v>
      </c>
      <c r="V55" s="45">
        <f>$D55*H$19</f>
        <v>9784.32</v>
      </c>
      <c r="W55" s="45">
        <f>$D55*I$19</f>
        <v>8247.68</v>
      </c>
      <c r="X55" s="44">
        <f>$D55*J$19</f>
        <v>7038.08</v>
      </c>
      <c r="Y55" s="45">
        <f>$D55*K$19</f>
        <v>6137.6</v>
      </c>
      <c r="Z55" s="45">
        <f>$D55*L$19</f>
        <v>5505.92</v>
      </c>
      <c r="AA55" s="45">
        <f>$D55*M$19</f>
        <v>5125.120000000001</v>
      </c>
      <c r="AB55" s="44">
        <f>$D55*N$19</f>
        <v>4851.168</v>
      </c>
      <c r="AC55" s="45">
        <f>$D55*O$19</f>
        <v>4636.8</v>
      </c>
      <c r="AD55" s="45">
        <f>$D55*P$19</f>
        <v>4462.08</v>
      </c>
      <c r="AE55" s="45">
        <f>$D55*Q$19</f>
        <v>4327.68</v>
      </c>
      <c r="AF55" s="44">
        <f>$D55*R$19</f>
        <v>4206.72</v>
      </c>
    </row>
    <row r="56" spans="3:32" ht="12.75">
      <c r="C56" s="40">
        <v>2015</v>
      </c>
      <c r="D56" s="46">
        <v>2</v>
      </c>
      <c r="U56" s="23">
        <f>$D56*F$19</f>
        <v>2501.3333333333335</v>
      </c>
      <c r="V56" s="23">
        <f>$D56*G$19</f>
        <v>1954.0266666666666</v>
      </c>
      <c r="W56" s="23">
        <f>$D56*H$19</f>
        <v>1630.72</v>
      </c>
      <c r="X56" s="39">
        <f>$D56*I$19</f>
        <v>1374.6133333333335</v>
      </c>
      <c r="Y56" s="23">
        <f>$D56*J$19</f>
        <v>1173.0133333333333</v>
      </c>
      <c r="Z56" s="23">
        <f>$D56*K$19</f>
        <v>1022.9333333333334</v>
      </c>
      <c r="AA56" s="23">
        <f>$D56*L$19</f>
        <v>917.6533333333333</v>
      </c>
      <c r="AB56" s="39">
        <f>$D56*M$19</f>
        <v>854.1866666666668</v>
      </c>
      <c r="AC56" s="23">
        <f>$D56*N$19</f>
        <v>808.5279999999999</v>
      </c>
      <c r="AD56" s="23">
        <f>$D56*O$19</f>
        <v>772.8000000000001</v>
      </c>
      <c r="AE56" s="23">
        <f>$D56*P$19</f>
        <v>743.68</v>
      </c>
      <c r="AF56" s="39">
        <f>$D56*Q$19</f>
        <v>721.2800000000001</v>
      </c>
    </row>
    <row r="57" spans="4:32" ht="12.75">
      <c r="D57" s="46">
        <v>10</v>
      </c>
      <c r="V57" s="23">
        <f>$D57*F$19</f>
        <v>12506.666666666668</v>
      </c>
      <c r="W57" s="23">
        <f>$D57*G$19</f>
        <v>9770.133333333333</v>
      </c>
      <c r="X57" s="39">
        <f>$D57*H$19</f>
        <v>8153.6</v>
      </c>
      <c r="Y57" s="23">
        <f>$D57*I$19</f>
        <v>6873.0666666666675</v>
      </c>
      <c r="Z57" s="23">
        <f>$D57*J$19</f>
        <v>5865.066666666667</v>
      </c>
      <c r="AA57" s="23">
        <f>$D57*K$19</f>
        <v>5114.666666666667</v>
      </c>
      <c r="AB57" s="39">
        <f>$D57*L$19</f>
        <v>4588.266666666666</v>
      </c>
      <c r="AC57" s="23">
        <f>$D57*M$19</f>
        <v>4270.933333333334</v>
      </c>
      <c r="AD57" s="23">
        <f>$D57*N$19</f>
        <v>4042.6399999999994</v>
      </c>
      <c r="AE57" s="23">
        <f>$D57*O$19</f>
        <v>3864.0000000000005</v>
      </c>
      <c r="AF57" s="39">
        <f>$D57*P$19</f>
        <v>3718.3999999999996</v>
      </c>
    </row>
    <row r="58" spans="4:32" ht="12.75">
      <c r="D58" s="46">
        <v>12</v>
      </c>
      <c r="V58" s="23"/>
      <c r="W58" s="23">
        <f>$D58*F$19</f>
        <v>15008</v>
      </c>
      <c r="X58" s="39">
        <f>$D58*G$19</f>
        <v>11724.16</v>
      </c>
      <c r="Y58" s="23">
        <f>$D58*H$19</f>
        <v>9784.32</v>
      </c>
      <c r="Z58" s="23">
        <f>$D58*I$19</f>
        <v>8247.68</v>
      </c>
      <c r="AA58" s="23">
        <f>$D58*J$19</f>
        <v>7038.08</v>
      </c>
      <c r="AB58" s="39">
        <f>$D58*K$19</f>
        <v>6137.6</v>
      </c>
      <c r="AC58" s="23">
        <f>$D58*L$19</f>
        <v>5505.92</v>
      </c>
      <c r="AD58" s="23">
        <f>$D58*M$19</f>
        <v>5125.120000000001</v>
      </c>
      <c r="AE58" s="23">
        <f>$D58*N$19</f>
        <v>4851.168</v>
      </c>
      <c r="AF58" s="39">
        <f>$D58*O$19</f>
        <v>4636.8</v>
      </c>
    </row>
    <row r="59" spans="3:32" ht="12.75">
      <c r="C59" s="42">
        <f>(SUM(D56:D59))*1.3</f>
        <v>46.800000000000004</v>
      </c>
      <c r="D59" s="46">
        <v>12</v>
      </c>
      <c r="V59" s="23"/>
      <c r="W59" s="23"/>
      <c r="X59" s="44">
        <f>$D59*F$19</f>
        <v>15008</v>
      </c>
      <c r="Y59" s="45">
        <f>$D59*G$19</f>
        <v>11724.16</v>
      </c>
      <c r="Z59" s="45">
        <f>$D59*H$19</f>
        <v>9784.32</v>
      </c>
      <c r="AA59" s="45">
        <f>$D59*I$19</f>
        <v>8247.68</v>
      </c>
      <c r="AB59" s="44">
        <f>$D59*J$19</f>
        <v>7038.08</v>
      </c>
      <c r="AC59" s="45">
        <f>$D59*K$19</f>
        <v>6137.6</v>
      </c>
      <c r="AD59" s="45">
        <f>$D59*L$19</f>
        <v>5505.92</v>
      </c>
      <c r="AE59" s="45">
        <f>$D59*M$19</f>
        <v>5125.120000000001</v>
      </c>
      <c r="AF59" s="44">
        <f>$D59*N$19</f>
        <v>4851.168</v>
      </c>
    </row>
    <row r="60" spans="3:32" ht="12.75">
      <c r="C60" s="40">
        <v>2016</v>
      </c>
      <c r="D60" s="46">
        <v>2</v>
      </c>
      <c r="Y60" s="23">
        <f>$D60*F$19</f>
        <v>2501.3333333333335</v>
      </c>
      <c r="Z60" s="23">
        <f>$D60*G$19</f>
        <v>1954.0266666666666</v>
      </c>
      <c r="AA60" s="23">
        <f>$D60*H$19</f>
        <v>1630.72</v>
      </c>
      <c r="AB60" s="39">
        <f>$D60*I$19</f>
        <v>1374.6133333333335</v>
      </c>
      <c r="AC60" s="23">
        <f>$D60*J$19</f>
        <v>1173.0133333333333</v>
      </c>
      <c r="AD60" s="23">
        <f>$D60*K$19</f>
        <v>1022.9333333333334</v>
      </c>
      <c r="AE60" s="23">
        <f>$D60*L$19</f>
        <v>917.6533333333333</v>
      </c>
      <c r="AF60" s="39">
        <f>$D60*M$19</f>
        <v>854.1866666666668</v>
      </c>
    </row>
    <row r="61" spans="4:32" ht="12.75">
      <c r="D61" s="46">
        <v>10</v>
      </c>
      <c r="Z61" s="23">
        <f>$D61*F$19</f>
        <v>12506.666666666668</v>
      </c>
      <c r="AA61" s="23">
        <f>$D61*G$19</f>
        <v>9770.133333333333</v>
      </c>
      <c r="AB61" s="39">
        <f>$D61*H$19</f>
        <v>8153.6</v>
      </c>
      <c r="AC61" s="23">
        <f>$D61*I$19</f>
        <v>6873.0666666666675</v>
      </c>
      <c r="AD61" s="23">
        <f>$D61*J$19</f>
        <v>5865.066666666667</v>
      </c>
      <c r="AE61" s="23">
        <f>$D61*K$19</f>
        <v>5114.666666666667</v>
      </c>
      <c r="AF61" s="39">
        <f>$D61*L$19</f>
        <v>4588.266666666666</v>
      </c>
    </row>
    <row r="62" spans="4:32" ht="12.75">
      <c r="D62" s="1">
        <v>6</v>
      </c>
      <c r="Z62" s="23"/>
      <c r="AA62" s="23">
        <f>$D62*F$19</f>
        <v>7504</v>
      </c>
      <c r="AB62" s="39">
        <f>$D62*G$19</f>
        <v>5862.08</v>
      </c>
      <c r="AC62" s="23">
        <f>$D62*H$19</f>
        <v>4892.16</v>
      </c>
      <c r="AD62" s="23">
        <f>$D62*I$19</f>
        <v>4123.84</v>
      </c>
      <c r="AE62" s="23">
        <f>$D62*J$19</f>
        <v>3519.04</v>
      </c>
      <c r="AF62" s="39">
        <f>$D62*K$19</f>
        <v>3068.8</v>
      </c>
    </row>
    <row r="63" spans="3:32" ht="12.75">
      <c r="C63" s="42">
        <f>(SUM(D60:D63))*1.3</f>
        <v>23.400000000000002</v>
      </c>
      <c r="D63" s="1">
        <v>0</v>
      </c>
      <c r="Z63" s="23"/>
      <c r="AA63" s="23"/>
      <c r="AB63" s="44">
        <f>$D63*F$19</f>
        <v>0</v>
      </c>
      <c r="AC63" s="45">
        <f>$D63*G$19</f>
        <v>0</v>
      </c>
      <c r="AD63" s="45">
        <f>$D63*H$19</f>
        <v>0</v>
      </c>
      <c r="AE63" s="45">
        <f>$D63*I$19</f>
        <v>0</v>
      </c>
      <c r="AF63" s="44">
        <f>$D63*J$19</f>
        <v>0</v>
      </c>
    </row>
    <row r="64" spans="3:32" ht="12.75">
      <c r="C64" s="40">
        <v>2017</v>
      </c>
      <c r="D64" s="1">
        <v>0</v>
      </c>
      <c r="AC64" s="23">
        <f>$D64*F$19</f>
        <v>0</v>
      </c>
      <c r="AD64" s="23">
        <f>$D64*G$19</f>
        <v>0</v>
      </c>
      <c r="AE64" s="23">
        <f>$D64*H$19</f>
        <v>0</v>
      </c>
      <c r="AF64" s="39">
        <f>$D64*I$19</f>
        <v>0</v>
      </c>
    </row>
    <row r="65" spans="4:32" ht="12.75">
      <c r="D65" s="46">
        <v>0</v>
      </c>
      <c r="AD65" s="23">
        <f>$D65*$D$14</f>
        <v>0</v>
      </c>
      <c r="AE65" s="26">
        <f>$D65*F$19</f>
        <v>0</v>
      </c>
      <c r="AF65" s="39">
        <f>$D65*H$22</f>
        <v>0</v>
      </c>
    </row>
    <row r="66" spans="4:32" ht="12.75">
      <c r="D66" s="46">
        <v>0</v>
      </c>
      <c r="AE66" s="23">
        <f>$D66*$D$14</f>
        <v>0</v>
      </c>
      <c r="AF66" s="39">
        <f>$D74*F$19</f>
        <v>0</v>
      </c>
    </row>
    <row r="67" spans="3:32" ht="12.75">
      <c r="C67" s="42">
        <f>(SUM(D64:D67))*1.1</f>
        <v>0</v>
      </c>
      <c r="D67" s="32">
        <v>0</v>
      </c>
      <c r="AF67" s="44">
        <f>$D67*$D$14</f>
        <v>0</v>
      </c>
    </row>
    <row r="69" ht="12.75">
      <c r="D69" s="26">
        <f>SUM(D39:D68)</f>
        <v>175</v>
      </c>
    </row>
    <row r="71" spans="3:32" ht="12.75">
      <c r="C71" s="47" t="s">
        <v>93</v>
      </c>
      <c r="D71" s="48"/>
      <c r="F71" s="49">
        <f>SUM(F39:F70)</f>
        <v>7126.666666666667</v>
      </c>
      <c r="G71" s="49">
        <f>SUM(G39:G70)</f>
        <v>12219.866666666667</v>
      </c>
      <c r="H71" s="50">
        <f>SUM(H39:H70)</f>
        <v>15930.180243309002</v>
      </c>
      <c r="I71" s="49">
        <f>SUM(I39:I70)</f>
        <v>15815.586471309074</v>
      </c>
      <c r="J71" s="49">
        <f>SUM(J39:J70)</f>
        <v>21044.09850000888</v>
      </c>
      <c r="K71" s="49">
        <f>SUM(K39:K70)</f>
        <v>32690.464131280307</v>
      </c>
      <c r="L71" s="50">
        <f>SUM(L39:L70)</f>
        <v>42080.339034053155</v>
      </c>
      <c r="M71" s="49">
        <f>SUM(M39:M60)</f>
        <v>37599.47095136171</v>
      </c>
      <c r="N71" s="49">
        <f>SUM(N39:N70)</f>
        <v>39773.1840270207</v>
      </c>
      <c r="O71" s="49">
        <f>SUM(O39:O70)</f>
        <v>49513.748590253745</v>
      </c>
      <c r="P71" s="50">
        <f>SUM(P39:P70)</f>
        <v>57214.36686966377</v>
      </c>
      <c r="Q71" s="49">
        <f>SUM(Q39:Q70)</f>
        <v>51500.61238779946</v>
      </c>
      <c r="R71" s="49">
        <f>SUM(R39:R70)</f>
        <v>57820.707239268486</v>
      </c>
      <c r="S71" s="49">
        <f>SUM(S39:S70)</f>
        <v>65472.37009073751</v>
      </c>
      <c r="T71" s="50">
        <f>SUM(T39:T70)</f>
        <v>72046.97351426554</v>
      </c>
      <c r="U71" s="49">
        <f>SUM(U39:U70)</f>
        <v>65416.56429863047</v>
      </c>
      <c r="V71" s="49">
        <f>SUM(V39:V70)</f>
        <v>71002.71505659507</v>
      </c>
      <c r="W71" s="49">
        <f>SUM(W39:W70)</f>
        <v>78078.30027770759</v>
      </c>
      <c r="X71" s="50">
        <f>SUM(X39:X70)</f>
        <v>84178.75483215344</v>
      </c>
      <c r="Y71" s="51">
        <f>SUM(Y39:Y70)</f>
        <v>77175.58251641387</v>
      </c>
      <c r="Z71" s="51">
        <f>SUM(Z39:Z70)</f>
        <v>82442.67533048887</v>
      </c>
      <c r="AA71" s="51">
        <f>SUM(AA39:AA70)</f>
        <v>81740.48394104514</v>
      </c>
      <c r="AB71" s="50">
        <f>SUM(AB39:AB70)</f>
        <v>74244.43788493473</v>
      </c>
      <c r="AC71" s="51">
        <f>SUM(AC39:AC70)</f>
        <v>68797.80516215765</v>
      </c>
      <c r="AD71" s="51">
        <f>SUM(AD39:AD70)</f>
        <v>64630.584439380575</v>
      </c>
      <c r="AE71" s="51">
        <f>SUM(AE39:AE70)</f>
        <v>61447.35304993683</v>
      </c>
      <c r="AF71" s="50">
        <f>SUM(AF39:AF70)</f>
        <v>58965.88699382643</v>
      </c>
    </row>
    <row r="72" spans="3:32" ht="12.75">
      <c r="C72" s="47" t="s">
        <v>94</v>
      </c>
      <c r="D72" s="47"/>
      <c r="F72" s="23">
        <f>$J$33*$K$33*90/1000</f>
        <v>1128.4416</v>
      </c>
      <c r="G72" s="23">
        <f>$J$33*$K$33*90/1000</f>
        <v>1128.4416</v>
      </c>
      <c r="H72" s="39">
        <f>$J$33*$K$33*90/1000</f>
        <v>1128.4416</v>
      </c>
      <c r="I72" s="23">
        <f>$J$34*$K$34*90/1000</f>
        <v>1018.2744</v>
      </c>
      <c r="J72" s="23">
        <v>100</v>
      </c>
      <c r="K72" s="23">
        <v>0</v>
      </c>
      <c r="L72" s="39">
        <v>0</v>
      </c>
      <c r="M72" s="23">
        <v>0</v>
      </c>
      <c r="N72" s="23">
        <v>0</v>
      </c>
      <c r="O72" s="23">
        <v>0</v>
      </c>
      <c r="P72" s="39">
        <v>0</v>
      </c>
      <c r="Q72" s="23">
        <v>0</v>
      </c>
      <c r="R72" s="23">
        <v>0</v>
      </c>
      <c r="S72" s="23">
        <v>0</v>
      </c>
      <c r="T72" s="39">
        <v>0</v>
      </c>
      <c r="U72" s="23">
        <v>0</v>
      </c>
      <c r="V72" s="23">
        <v>0</v>
      </c>
      <c r="W72" s="23">
        <v>0</v>
      </c>
      <c r="X72" s="39">
        <v>0</v>
      </c>
      <c r="Y72" s="52">
        <v>0</v>
      </c>
      <c r="Z72" s="52">
        <v>0</v>
      </c>
      <c r="AA72" s="52">
        <v>0</v>
      </c>
      <c r="AB72" s="39">
        <v>0</v>
      </c>
      <c r="AC72" s="52">
        <v>0</v>
      </c>
      <c r="AD72" s="52">
        <v>0</v>
      </c>
      <c r="AE72" s="52">
        <v>0</v>
      </c>
      <c r="AF72" s="39">
        <v>0</v>
      </c>
    </row>
    <row r="73" spans="3:32" ht="12.75">
      <c r="C73" s="47" t="s">
        <v>95</v>
      </c>
      <c r="D73" s="47"/>
      <c r="F73" s="23">
        <f>(F71-$J$33)*F27*90/1000</f>
        <v>2042.952</v>
      </c>
      <c r="G73" s="23">
        <f>(G71-$J$33)*G27*90/1000</f>
        <v>3925.9097999999994</v>
      </c>
      <c r="H73" s="39">
        <f>(H71-$J$33)*H27*90/1000</f>
        <v>5440.319376350366</v>
      </c>
      <c r="I73" s="23">
        <f>(I71-$J$34)*I27*90/1000</f>
        <v>5791.029938242848</v>
      </c>
      <c r="J73" s="23">
        <f>(J71-200)*J27*90/1000</f>
        <v>8629.456779003676</v>
      </c>
      <c r="K73" s="23">
        <f>(K71)*K27*90/1000</f>
        <v>13828.066327531567</v>
      </c>
      <c r="L73" s="39">
        <f>(L71)*L27*90/1000</f>
        <v>18557.42951401744</v>
      </c>
      <c r="M73" s="23">
        <f>(M71)*M27*90/1000</f>
        <v>17427.35478595615</v>
      </c>
      <c r="N73" s="23">
        <f>(N71)*N27*90/1000</f>
        <v>18076.91214028091</v>
      </c>
      <c r="O73" s="23">
        <f>(O71)*O27*90/1000</f>
        <v>22281.18686561419</v>
      </c>
      <c r="P73" s="39">
        <f>(P71)*P27*90/1000</f>
        <v>26776.323695002644</v>
      </c>
      <c r="Q73" s="23">
        <f>(Q71)*Q27*90/1000</f>
        <v>25492.803131960733</v>
      </c>
      <c r="R73" s="23">
        <f>(R71)*R27*90/1000</f>
        <v>27060.090987977655</v>
      </c>
      <c r="S73" s="23">
        <f>(S71)*S27*90/1000</f>
        <v>31230.32053328179</v>
      </c>
      <c r="T73" s="39">
        <f>(T71)*T27*90/1000</f>
        <v>35663.25188956144</v>
      </c>
      <c r="U73" s="23">
        <f>(U71)*$U27*90/1000</f>
        <v>33558.69748519743</v>
      </c>
      <c r="V73" s="23">
        <f>(V71)*$U27*90/1000</f>
        <v>36424.392824033275</v>
      </c>
      <c r="W73" s="23">
        <f>(W71)*$U27*90/1000</f>
        <v>40054.16804246399</v>
      </c>
      <c r="X73" s="39">
        <f>(X71)*$U27*90/1000</f>
        <v>43183.701228894715</v>
      </c>
      <c r="Y73" s="23">
        <f>(Y71)*$U27*90/1000</f>
        <v>39591.07383092031</v>
      </c>
      <c r="Z73" s="23">
        <f>(Z71)*$U27*90/1000</f>
        <v>42293.092444540795</v>
      </c>
      <c r="AA73" s="23">
        <f>(AA71)*$U27*90/1000</f>
        <v>41932.86826175616</v>
      </c>
      <c r="AB73" s="39">
        <f>(AB71)*$U27*90/1000</f>
        <v>38087.39663497151</v>
      </c>
      <c r="AC73" s="23">
        <f>(AC71)*$V27*90/1000</f>
        <v>37769.99503402454</v>
      </c>
      <c r="AD73" s="23">
        <f>(AD71)*$V27*90/1000</f>
        <v>35482.19085721993</v>
      </c>
      <c r="AE73" s="23">
        <f>(AE71)*$V27*90/1000</f>
        <v>33734.59682441532</v>
      </c>
      <c r="AF73" s="39">
        <f>(AF71)*$V27*90/1000</f>
        <v>32372.271959610713</v>
      </c>
    </row>
    <row r="74" spans="3:32" ht="12.75">
      <c r="C74" s="47" t="s">
        <v>96</v>
      </c>
      <c r="D74" s="47"/>
      <c r="F74" s="53">
        <f>(F72+F73)/1000</f>
        <v>3.1713936000000005</v>
      </c>
      <c r="G74" s="53">
        <f>(G72+G73)/1000</f>
        <v>5.0543514</v>
      </c>
      <c r="H74" s="54">
        <f>(H72+H73)/1000</f>
        <v>6.568760976350366</v>
      </c>
      <c r="I74" s="53">
        <f>(I72+I73)/1000</f>
        <v>6.809304338242849</v>
      </c>
      <c r="J74" s="53">
        <f>(J72+J73)/1000</f>
        <v>8.729456779003677</v>
      </c>
      <c r="K74" s="53">
        <f>(K72+K73)/1000</f>
        <v>13.828066327531568</v>
      </c>
      <c r="L74" s="54">
        <f>(L72+L73)/1000</f>
        <v>18.55742951401744</v>
      </c>
      <c r="M74" s="53">
        <f>(M72+M73)/1000</f>
        <v>17.42735478595615</v>
      </c>
      <c r="N74" s="53">
        <f>(N72+N73)/1000</f>
        <v>18.07691214028091</v>
      </c>
      <c r="O74" s="53">
        <f>(O72+O73)/1000</f>
        <v>22.28118686561419</v>
      </c>
      <c r="P74" s="54">
        <f>(P72+P73)/1000</f>
        <v>26.776323695002645</v>
      </c>
      <c r="Q74" s="53">
        <f>(Q72+Q73)/1000</f>
        <v>25.492803131960734</v>
      </c>
      <c r="R74" s="53">
        <f>(R72+R73)/1000</f>
        <v>27.060090987977656</v>
      </c>
      <c r="S74" s="53">
        <f>(S72+S73)/1000</f>
        <v>31.230320533281787</v>
      </c>
      <c r="T74" s="54">
        <f>(T72+T73)/1000</f>
        <v>35.663251889561444</v>
      </c>
      <c r="U74" s="53">
        <f>(U72+U73)/1000</f>
        <v>33.55869748519743</v>
      </c>
      <c r="V74" s="53">
        <f>(V72+V73)/1000</f>
        <v>36.424392824033276</v>
      </c>
      <c r="W74" s="53">
        <f>(W72+W73)/1000</f>
        <v>40.05416804246399</v>
      </c>
      <c r="X74" s="54">
        <f>(X72+X73)/1000</f>
        <v>43.18370122889471</v>
      </c>
      <c r="Y74" s="53">
        <f>(Y72+Y73)/1000</f>
        <v>39.59107383092031</v>
      </c>
      <c r="Z74" s="53">
        <f>(Z72+Z73)/1000</f>
        <v>42.2930924445408</v>
      </c>
      <c r="AA74" s="53">
        <f>(AA72+AA73)/1000</f>
        <v>41.932868261756155</v>
      </c>
      <c r="AB74" s="54">
        <f>(AB72+AB73)/1000</f>
        <v>38.08739663497151</v>
      </c>
      <c r="AC74" s="53">
        <f>(AC72+AC73)/1000</f>
        <v>37.76999503402454</v>
      </c>
      <c r="AD74" s="53">
        <f>(AD72+AD73)/1000</f>
        <v>35.48219085721993</v>
      </c>
      <c r="AE74" s="53">
        <f>(AE72+AE73)/1000</f>
        <v>33.73459682441532</v>
      </c>
      <c r="AF74" s="54">
        <f>(AF72+AF73)/1000</f>
        <v>32.372271959610714</v>
      </c>
    </row>
    <row r="75" spans="3:32" ht="12.75">
      <c r="C75" s="47"/>
      <c r="D75" s="55" t="s">
        <v>97</v>
      </c>
      <c r="H75" s="56">
        <f>SUM(E74:H74)-SUM(E76:H76)</f>
        <v>12.945192729306571</v>
      </c>
      <c r="L75" s="56">
        <f>SUM(I74:L74)-SUM(I76:L76)</f>
        <v>41.93372483894609</v>
      </c>
      <c r="P75" s="56">
        <f>SUM(M74:P74)-SUM(M76:P76)</f>
        <v>73.99155530099716</v>
      </c>
      <c r="T75" s="57">
        <f>SUM(Q74:T74)-SUM(Q76:T76)</f>
        <v>104.51565822493392</v>
      </c>
      <c r="X75" s="57">
        <f>SUM(U74:X74)-SUM(U76:X76)</f>
        <v>134.06833963301574</v>
      </c>
      <c r="AB75" s="57">
        <f>SUM(Y74:AB74)-SUM(Y76:AB76)</f>
        <v>141.66637727566518</v>
      </c>
      <c r="AF75" s="57">
        <f>SUM(AC74:AF74)-SUM(AC76:AF76)</f>
        <v>121.93917284086169</v>
      </c>
    </row>
    <row r="76" spans="3:32" ht="12.75">
      <c r="C76" s="58" t="s">
        <v>98</v>
      </c>
      <c r="D76" s="59">
        <v>0.125</v>
      </c>
      <c r="F76" s="60">
        <f>F74*0.125</f>
        <v>0.39642420000000006</v>
      </c>
      <c r="G76" s="60">
        <f>G74*0.125</f>
        <v>0.631793925</v>
      </c>
      <c r="H76" s="60">
        <f>H74*0.125</f>
        <v>0.8210951220437958</v>
      </c>
      <c r="I76" s="60">
        <f>I74*0.125</f>
        <v>0.8511630422803561</v>
      </c>
      <c r="J76" s="60">
        <f>J74*0.125</f>
        <v>1.0911820973754596</v>
      </c>
      <c r="K76" s="60">
        <f>K74*0.125</f>
        <v>1.728508290941446</v>
      </c>
      <c r="L76" s="60">
        <f>L74*0.125</f>
        <v>2.31967868925218</v>
      </c>
      <c r="M76" s="60">
        <f>M74*0.125</f>
        <v>2.178419348244519</v>
      </c>
      <c r="N76" s="60">
        <f>N74*0.125</f>
        <v>2.259614017535114</v>
      </c>
      <c r="O76" s="60">
        <f>O74*0.125</f>
        <v>2.7851483582017735</v>
      </c>
      <c r="P76" s="60">
        <f>P74*0.125</f>
        <v>3.3470404618753307</v>
      </c>
      <c r="Q76" s="60">
        <f>Q74*0.125</f>
        <v>3.1866003914950918</v>
      </c>
      <c r="R76" s="60">
        <f>R74*0.125</f>
        <v>3.382511373497207</v>
      </c>
      <c r="S76" s="60">
        <f>S74*0.125</f>
        <v>3.9037900666602234</v>
      </c>
      <c r="T76" s="60">
        <f>T74*0.125</f>
        <v>4.4579064861951805</v>
      </c>
      <c r="U76" s="60">
        <f>U74*0.125</f>
        <v>4.1948371856496784</v>
      </c>
      <c r="V76" s="60">
        <f>V74*0.125</f>
        <v>4.5530491030041595</v>
      </c>
      <c r="W76" s="60">
        <f>W74*0.125</f>
        <v>5.006771005307999</v>
      </c>
      <c r="X76" s="60">
        <f>X74*0.125</f>
        <v>5.397962653611839</v>
      </c>
      <c r="Y76" s="60">
        <f>Y74*0.125</f>
        <v>4.9488842288650385</v>
      </c>
      <c r="Z76" s="60">
        <f>Z74*0.125</f>
        <v>5.2866365555676</v>
      </c>
      <c r="AA76" s="60">
        <f>AA74*0.125</f>
        <v>5.241608532719519</v>
      </c>
      <c r="AB76" s="60">
        <f>AB74*0.125</f>
        <v>4.760924579371439</v>
      </c>
      <c r="AC76" s="60">
        <f>AC74*0.125</f>
        <v>4.721249379253067</v>
      </c>
      <c r="AD76" s="60">
        <f>AD74*0.125</f>
        <v>4.435273857152492</v>
      </c>
      <c r="AE76" s="60">
        <f>AE74*0.125</f>
        <v>4.216824603051915</v>
      </c>
      <c r="AF76" s="60">
        <f>AF74*0.125</f>
        <v>4.046533994951339</v>
      </c>
    </row>
    <row r="77" spans="4:32" ht="12.75">
      <c r="D77" s="22"/>
      <c r="H77" s="57"/>
      <c r="AF77" s="57"/>
    </row>
    <row r="78" spans="4:32" ht="12.75">
      <c r="D78" s="22"/>
      <c r="H78" s="57"/>
      <c r="AF78" s="57"/>
    </row>
    <row r="80" spans="9:13" ht="12.75">
      <c r="I80" s="61" t="s">
        <v>99</v>
      </c>
      <c r="K80" s="22" t="s">
        <v>100</v>
      </c>
      <c r="M80" s="62" t="s">
        <v>101</v>
      </c>
    </row>
    <row r="81" spans="2:13" ht="12.75">
      <c r="B81" t="s">
        <v>102</v>
      </c>
      <c r="I81" s="63">
        <f>L75-C47</f>
        <v>0.3337248389460896</v>
      </c>
      <c r="K81" s="3">
        <v>-35.6</v>
      </c>
      <c r="M81" s="37" t="s">
        <v>103</v>
      </c>
    </row>
    <row r="82" spans="7:28" ht="12.75">
      <c r="G82" t="s">
        <v>104</v>
      </c>
      <c r="I82" s="63">
        <f>P75-C51</f>
        <v>32.39155530099716</v>
      </c>
      <c r="K82" s="3">
        <v>-41.2</v>
      </c>
      <c r="M82" s="37" t="s">
        <v>105</v>
      </c>
      <c r="AB82" s="26">
        <f>13.8*0.94</f>
        <v>12.972000000000001</v>
      </c>
    </row>
    <row r="83" spans="7:11" ht="12.75">
      <c r="G83" t="s">
        <v>106</v>
      </c>
      <c r="I83" s="63">
        <f>T75-C55</f>
        <v>57.71565822493391</v>
      </c>
      <c r="K83" s="3">
        <v>-9.4</v>
      </c>
    </row>
    <row r="84" spans="2:12" ht="12.75">
      <c r="B84" s="64" t="s">
        <v>107</v>
      </c>
      <c r="C84" s="64"/>
      <c r="D84" s="64"/>
      <c r="G84" t="s">
        <v>108</v>
      </c>
      <c r="I84" s="63">
        <f>X75-C59</f>
        <v>87.26833963301573</v>
      </c>
      <c r="K84">
        <v>0</v>
      </c>
      <c r="L84" t="s">
        <v>109</v>
      </c>
    </row>
    <row r="85" spans="7:9" ht="12.75">
      <c r="G85" t="s">
        <v>110</v>
      </c>
      <c r="I85" s="63">
        <f>AF75-C63</f>
        <v>98.53917284086168</v>
      </c>
    </row>
    <row r="86" spans="7:9" ht="12.75">
      <c r="G86" t="s">
        <v>111</v>
      </c>
      <c r="I86" s="63">
        <f>AB75-C67</f>
        <v>141.66637727566518</v>
      </c>
    </row>
    <row r="89" spans="3:32" ht="12.75">
      <c r="C89" t="s">
        <v>112</v>
      </c>
      <c r="G89" s="33" t="s">
        <v>53</v>
      </c>
      <c r="H89" s="33" t="s">
        <v>54</v>
      </c>
      <c r="I89" s="33" t="s">
        <v>55</v>
      </c>
      <c r="J89" s="33" t="s">
        <v>56</v>
      </c>
      <c r="K89" s="33" t="s">
        <v>57</v>
      </c>
      <c r="L89" s="33" t="s">
        <v>58</v>
      </c>
      <c r="M89" s="33" t="s">
        <v>59</v>
      </c>
      <c r="N89" s="33" t="s">
        <v>60</v>
      </c>
      <c r="O89" s="33" t="s">
        <v>61</v>
      </c>
      <c r="P89" s="33" t="s">
        <v>62</v>
      </c>
      <c r="Q89" s="33" t="s">
        <v>63</v>
      </c>
      <c r="R89" s="33" t="s">
        <v>64</v>
      </c>
      <c r="S89" s="33" t="s">
        <v>65</v>
      </c>
      <c r="T89" s="33" t="s">
        <v>66</v>
      </c>
      <c r="U89" s="33" t="s">
        <v>76</v>
      </c>
      <c r="V89" s="33" t="s">
        <v>77</v>
      </c>
      <c r="W89" s="33" t="s">
        <v>78</v>
      </c>
      <c r="X89" s="33" t="s">
        <v>79</v>
      </c>
      <c r="Y89" s="33" t="s">
        <v>80</v>
      </c>
      <c r="Z89" s="33" t="s">
        <v>81</v>
      </c>
      <c r="AA89" s="33" t="s">
        <v>82</v>
      </c>
      <c r="AB89" s="33" t="s">
        <v>83</v>
      </c>
      <c r="AC89" s="33" t="s">
        <v>84</v>
      </c>
      <c r="AD89" s="33" t="s">
        <v>85</v>
      </c>
      <c r="AE89" s="33" t="s">
        <v>86</v>
      </c>
      <c r="AF89" s="33" t="s">
        <v>87</v>
      </c>
    </row>
    <row r="90" spans="5:31" ht="12.75">
      <c r="E90" t="s">
        <v>113</v>
      </c>
      <c r="G90" s="52">
        <f>G74*NPV!D29</f>
        <v>4.9738052560896</v>
      </c>
      <c r="H90" s="52">
        <f>H74*NPV!G29</f>
        <v>6.310181046577996</v>
      </c>
      <c r="I90" s="52">
        <f>I74*NPV!J29</f>
        <v>6.385517837513929</v>
      </c>
      <c r="J90" s="52">
        <f>J74*NPV!M29</f>
        <v>7.9912664741344654</v>
      </c>
      <c r="K90" s="52">
        <f>K74*NPV!P29</f>
        <v>12.357336248118166</v>
      </c>
      <c r="L90" s="52">
        <f>L74*NPV!S29</f>
        <v>16.188859215268344</v>
      </c>
      <c r="M90" s="52">
        <f>M74*NPV!V29</f>
        <v>14.841059824475895</v>
      </c>
      <c r="N90" s="52">
        <f>N74*NPV!Y29</f>
        <v>15.027706580081038</v>
      </c>
      <c r="O90" s="52">
        <f>O74*NPV!AB29</f>
        <v>18.081805649301796</v>
      </c>
      <c r="P90" s="52">
        <f>P74*NPV!AE29</f>
        <v>21.212382123581943</v>
      </c>
      <c r="Q90" s="52">
        <f>Q74*NPV!AH29</f>
        <v>19.714742140698863</v>
      </c>
      <c r="R90" s="52">
        <f>R74*NPV!AK29</f>
        <v>20.428561103588468</v>
      </c>
      <c r="S90" s="52">
        <f>S74*NPV!AN29</f>
        <v>23.015477177492002</v>
      </c>
      <c r="T90" s="52">
        <f>T74*NPV!AQ29</f>
        <v>25.656623392377757</v>
      </c>
      <c r="U90" s="52">
        <f>U74*NPV!AT29</f>
        <v>23.567779756188692</v>
      </c>
      <c r="V90" s="52">
        <f>V74*NPV!AW29</f>
        <v>24.971286204600958</v>
      </c>
      <c r="W90" s="52">
        <f>W74*NPV!AZ29</f>
        <v>26.80595740939378</v>
      </c>
      <c r="X90" s="52">
        <f>X74*NPV!BC29</f>
        <v>28.21229956762433</v>
      </c>
      <c r="Y90" s="52">
        <f>Y74*NPV!BF29</f>
        <v>25.249391830115307</v>
      </c>
      <c r="Z90" s="52">
        <f>Z74*NPV!BI29</f>
        <v>26.33043892178903</v>
      </c>
      <c r="AA90" s="52">
        <f>AA74*NPV!BL29</f>
        <v>25.484624755944612</v>
      </c>
      <c r="AB90" s="52">
        <f>AB74*NPV!BO29</f>
        <v>22.596437703213848</v>
      </c>
      <c r="AC90" s="52">
        <f>AC74*NPV!BR29</f>
        <v>21.874625887922335</v>
      </c>
      <c r="AD90" s="52">
        <f>AD74*NPV!BS29</f>
        <v>20.060379770919653</v>
      </c>
      <c r="AE90" s="52">
        <f>AE74*NPV!BT29</f>
        <v>18.618267402222866</v>
      </c>
    </row>
    <row r="91" ht="12.75">
      <c r="E91" t="s">
        <v>114</v>
      </c>
    </row>
  </sheetData>
  <sheetProtection selectLockedCells="1" selectUnlockedCells="1"/>
  <hyperlinks>
    <hyperlink ref="B1" r:id="rId1" display="http://www.newsweb.no/newsweb/attachment.do?name=Corporate_Presentation.pdf&amp;attId=90715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C1">
      <selection activeCell="Q7" sqref="Q7"/>
    </sheetView>
  </sheetViews>
  <sheetFormatPr defaultColWidth="12.57421875" defaultRowHeight="12.75"/>
  <cols>
    <col min="1" max="1" width="19.8515625" style="0" customWidth="1"/>
    <col min="2" max="5" width="11.57421875" style="0" customWidth="1"/>
    <col min="6" max="6" width="14.28125" style="0" customWidth="1"/>
    <col min="7" max="12" width="11.57421875" style="0" customWidth="1"/>
    <col min="13" max="13" width="7.8515625" style="0" customWidth="1"/>
    <col min="14" max="14" width="11.57421875" style="0" customWidth="1"/>
    <col min="15" max="16" width="8.00390625" style="0" customWidth="1"/>
    <col min="17" max="17" width="10.00390625" style="0" customWidth="1"/>
    <col min="18" max="18" width="10.8515625" style="0" customWidth="1"/>
    <col min="19" max="16384" width="11.57421875" style="0" customWidth="1"/>
  </cols>
  <sheetData>
    <row r="1" spans="1:13" ht="12.75">
      <c r="A1" s="65" t="s">
        <v>115</v>
      </c>
      <c r="B1" t="s">
        <v>116</v>
      </c>
      <c r="M1" t="s">
        <v>117</v>
      </c>
    </row>
    <row r="2" spans="13:18" ht="12.75"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</row>
    <row r="3" spans="1:16" ht="12.75">
      <c r="A3" s="30" t="s">
        <v>124</v>
      </c>
      <c r="M3">
        <v>1</v>
      </c>
      <c r="O3">
        <v>39</v>
      </c>
      <c r="P3">
        <v>48</v>
      </c>
    </row>
    <row r="4" spans="1:13" ht="12.75">
      <c r="A4" t="s">
        <v>125</v>
      </c>
      <c r="B4">
        <v>10</v>
      </c>
      <c r="F4" t="s">
        <v>126</v>
      </c>
      <c r="G4" s="26">
        <f>5*7</f>
        <v>35</v>
      </c>
      <c r="M4">
        <v>2</v>
      </c>
    </row>
    <row r="5" spans="1:13" ht="12.75">
      <c r="A5" t="s">
        <v>127</v>
      </c>
      <c r="B5">
        <v>16.5</v>
      </c>
      <c r="F5" t="s">
        <v>128</v>
      </c>
      <c r="G5">
        <v>4</v>
      </c>
      <c r="M5">
        <v>3</v>
      </c>
    </row>
    <row r="6" spans="1:13" ht="12.75">
      <c r="A6" t="s">
        <v>129</v>
      </c>
      <c r="B6" s="52">
        <f>210*0.8/5.5</f>
        <v>30.545454545454547</v>
      </c>
      <c r="F6" t="s">
        <v>130</v>
      </c>
      <c r="G6" s="26">
        <f>30*1.35</f>
        <v>40.5</v>
      </c>
      <c r="M6">
        <v>4</v>
      </c>
    </row>
    <row r="7" spans="1:13" ht="12.75">
      <c r="A7" t="s">
        <v>131</v>
      </c>
      <c r="B7">
        <v>2</v>
      </c>
      <c r="F7" t="s">
        <v>132</v>
      </c>
      <c r="G7">
        <v>6</v>
      </c>
      <c r="M7">
        <v>5</v>
      </c>
    </row>
    <row r="8" spans="1:16" ht="12.75">
      <c r="A8" t="s">
        <v>133</v>
      </c>
      <c r="B8" s="23">
        <f>SUM(udv!F74:J74)-SUM(udv!F76:J76)</f>
        <v>26.541608706897282</v>
      </c>
      <c r="F8" t="s">
        <v>134</v>
      </c>
      <c r="G8">
        <v>5</v>
      </c>
      <c r="O8">
        <v>10</v>
      </c>
      <c r="P8">
        <v>11</v>
      </c>
    </row>
    <row r="9" spans="1:16" ht="12.75">
      <c r="A9" t="s">
        <v>135</v>
      </c>
      <c r="F9" t="s">
        <v>136</v>
      </c>
      <c r="O9">
        <v>23</v>
      </c>
      <c r="P9">
        <v>32</v>
      </c>
    </row>
    <row r="10" spans="1:16" ht="12.75">
      <c r="A10" t="s">
        <v>137</v>
      </c>
      <c r="F10" t="s">
        <v>138</v>
      </c>
      <c r="G10">
        <v>35.6</v>
      </c>
      <c r="O10" s="37">
        <v>29</v>
      </c>
      <c r="P10">
        <v>40</v>
      </c>
    </row>
    <row r="11" spans="1:16" ht="12.75">
      <c r="A11" t="s">
        <v>139</v>
      </c>
      <c r="O11" s="37">
        <v>31</v>
      </c>
      <c r="P11">
        <v>42</v>
      </c>
    </row>
    <row r="12" spans="1:7" ht="12.75">
      <c r="A12" s="3" t="s">
        <v>140</v>
      </c>
      <c r="B12" s="66">
        <f>SUM(B4:B11)</f>
        <v>85.58706325235183</v>
      </c>
      <c r="G12" s="66">
        <f>SUM(G4:G11)</f>
        <v>126.1</v>
      </c>
    </row>
    <row r="14" spans="1:3" ht="12.75">
      <c r="A14" t="s">
        <v>141</v>
      </c>
      <c r="B14">
        <v>10</v>
      </c>
      <c r="C14" t="s">
        <v>142</v>
      </c>
    </row>
    <row r="15" spans="1:3" ht="12.75">
      <c r="A15" t="s">
        <v>143</v>
      </c>
      <c r="B15">
        <v>20</v>
      </c>
      <c r="C15" t="s">
        <v>142</v>
      </c>
    </row>
    <row r="16" spans="1:3" ht="12.75">
      <c r="A16" t="s">
        <v>144</v>
      </c>
      <c r="B16">
        <v>10</v>
      </c>
      <c r="C16" t="s">
        <v>142</v>
      </c>
    </row>
    <row r="17" spans="1:3" ht="12.75">
      <c r="A17" t="s">
        <v>145</v>
      </c>
      <c r="B17">
        <v>20</v>
      </c>
      <c r="C17" t="s">
        <v>142</v>
      </c>
    </row>
    <row r="18" spans="1:3" ht="12.75">
      <c r="A18" t="s">
        <v>146</v>
      </c>
      <c r="B18">
        <v>20</v>
      </c>
      <c r="C18" t="s">
        <v>142</v>
      </c>
    </row>
    <row r="20" ht="12.75">
      <c r="A20" s="30" t="s">
        <v>124</v>
      </c>
    </row>
    <row r="21" spans="1:7" ht="12.75">
      <c r="A21" t="s">
        <v>147</v>
      </c>
      <c r="B21">
        <v>0.1</v>
      </c>
      <c r="F21" t="s">
        <v>126</v>
      </c>
      <c r="G21" s="26">
        <f>4*7</f>
        <v>28</v>
      </c>
    </row>
    <row r="22" spans="1:7" ht="12.75">
      <c r="A22" t="s">
        <v>131</v>
      </c>
      <c r="B22">
        <v>0.9</v>
      </c>
      <c r="F22" t="s">
        <v>148</v>
      </c>
      <c r="G22">
        <v>3</v>
      </c>
    </row>
    <row r="23" spans="1:7" ht="12.75">
      <c r="A23" t="s">
        <v>133</v>
      </c>
      <c r="B23" s="23">
        <f>SUM(udv!K74:N74)-SUM(udv!K76:N76)</f>
        <v>59.40354242181281</v>
      </c>
      <c r="F23" t="s">
        <v>130</v>
      </c>
      <c r="G23" s="26">
        <f>30*1.35</f>
        <v>40.5</v>
      </c>
    </row>
    <row r="24" spans="6:7" ht="12.75">
      <c r="F24" t="s">
        <v>138</v>
      </c>
      <c r="G24">
        <v>40</v>
      </c>
    </row>
    <row r="26" spans="2:7" ht="12.75">
      <c r="B26" s="66">
        <f>SUM(B21:B25)</f>
        <v>60.40354242181281</v>
      </c>
      <c r="G26" s="66">
        <f>SUM(G21:G25)</f>
        <v>111.5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A29">
      <selection activeCell="C20" sqref="C20"/>
    </sheetView>
  </sheetViews>
  <sheetFormatPr defaultColWidth="12.57421875" defaultRowHeight="12.75"/>
  <cols>
    <col min="1" max="16384" width="11.57421875" style="0" customWidth="1"/>
  </cols>
  <sheetData>
    <row r="1" ht="12.75">
      <c r="A1" s="65" t="s">
        <v>149</v>
      </c>
    </row>
    <row r="2" ht="12.75">
      <c r="A2" t="s">
        <v>150</v>
      </c>
    </row>
    <row r="3" ht="12.75">
      <c r="B3" s="67" t="s">
        <v>151</v>
      </c>
    </row>
    <row r="4" spans="3:16" ht="12.75">
      <c r="C4" t="s">
        <v>152</v>
      </c>
      <c r="E4" s="68" t="s">
        <v>153</v>
      </c>
      <c r="F4" s="69">
        <v>4</v>
      </c>
      <c r="G4" s="69">
        <v>5</v>
      </c>
      <c r="H4" s="69">
        <v>6</v>
      </c>
      <c r="K4" s="70">
        <v>4</v>
      </c>
      <c r="L4" s="70">
        <v>5</v>
      </c>
      <c r="M4" s="70">
        <v>6</v>
      </c>
      <c r="O4" t="s">
        <v>154</v>
      </c>
      <c r="P4" s="70" t="s">
        <v>155</v>
      </c>
    </row>
    <row r="5" spans="3:16" ht="12.75">
      <c r="C5" t="s">
        <v>156</v>
      </c>
      <c r="E5" s="71" t="s">
        <v>157</v>
      </c>
      <c r="F5" s="68" t="s">
        <v>158</v>
      </c>
      <c r="G5" s="68" t="s">
        <v>159</v>
      </c>
      <c r="H5" s="68" t="s">
        <v>160</v>
      </c>
      <c r="J5" t="s">
        <v>161</v>
      </c>
      <c r="K5" s="72">
        <v>0.32</v>
      </c>
      <c r="L5" s="72">
        <v>0.57</v>
      </c>
      <c r="M5" s="72">
        <v>0.83</v>
      </c>
      <c r="O5" t="s">
        <v>162</v>
      </c>
      <c r="P5" s="73">
        <f>BM14/1000</f>
        <v>0.5998523999999998</v>
      </c>
    </row>
    <row r="6" spans="5:16" ht="12.75">
      <c r="E6" s="68" t="s">
        <v>163</v>
      </c>
      <c r="F6" s="68" t="s">
        <v>164</v>
      </c>
      <c r="G6" s="68" t="s">
        <v>165</v>
      </c>
      <c r="H6" s="68" t="s">
        <v>166</v>
      </c>
      <c r="J6" t="s">
        <v>161</v>
      </c>
      <c r="K6" s="72">
        <v>0.6</v>
      </c>
      <c r="L6" s="72">
        <v>0.95</v>
      </c>
      <c r="M6" s="72">
        <v>1.32</v>
      </c>
      <c r="O6" t="s">
        <v>167</v>
      </c>
      <c r="P6" s="73">
        <f>BM15/1000</f>
        <v>0.77980812</v>
      </c>
    </row>
    <row r="9" spans="2:9" ht="12.75">
      <c r="B9" t="s">
        <v>168</v>
      </c>
      <c r="I9" t="s">
        <v>169</v>
      </c>
    </row>
    <row r="11" spans="1:4" ht="12.75">
      <c r="A11" s="3" t="s">
        <v>10</v>
      </c>
      <c r="D11" s="8" t="s">
        <v>11</v>
      </c>
    </row>
    <row r="12" spans="1:66" ht="12.75">
      <c r="A12" s="9"/>
      <c r="B12" s="9"/>
      <c r="C12" s="9" t="s">
        <v>12</v>
      </c>
      <c r="D12" s="9">
        <v>2</v>
      </c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10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10">
        <v>24</v>
      </c>
      <c r="AA12" s="9">
        <v>25</v>
      </c>
      <c r="AB12" s="9">
        <v>26</v>
      </c>
      <c r="AC12" s="9">
        <v>27</v>
      </c>
      <c r="AD12" s="9">
        <v>28</v>
      </c>
      <c r="AE12" s="9">
        <v>29</v>
      </c>
      <c r="AF12" s="9">
        <v>30</v>
      </c>
      <c r="AG12" s="9">
        <v>31</v>
      </c>
      <c r="AH12" s="9">
        <v>32</v>
      </c>
      <c r="AI12" s="9">
        <v>33</v>
      </c>
      <c r="AJ12" s="9">
        <v>34</v>
      </c>
      <c r="AK12" s="9">
        <v>35</v>
      </c>
      <c r="AL12" s="10">
        <v>36</v>
      </c>
      <c r="AM12" s="9">
        <v>37</v>
      </c>
      <c r="AN12" s="9">
        <v>38</v>
      </c>
      <c r="AO12" s="9">
        <v>39</v>
      </c>
      <c r="AP12" s="9">
        <v>40</v>
      </c>
      <c r="AQ12" s="9">
        <v>41</v>
      </c>
      <c r="AR12" s="9">
        <v>42</v>
      </c>
      <c r="AS12" s="9">
        <v>43</v>
      </c>
      <c r="AT12" s="9">
        <v>44</v>
      </c>
      <c r="AU12" s="9">
        <v>45</v>
      </c>
      <c r="AV12" s="9">
        <v>46</v>
      </c>
      <c r="AW12" s="9">
        <v>47</v>
      </c>
      <c r="AX12" s="10">
        <v>48</v>
      </c>
      <c r="AY12" s="9">
        <v>49</v>
      </c>
      <c r="AZ12" s="9">
        <v>50</v>
      </c>
      <c r="BA12" s="9">
        <v>51</v>
      </c>
      <c r="BB12" s="9">
        <v>52</v>
      </c>
      <c r="BC12" s="9">
        <v>53</v>
      </c>
      <c r="BD12" s="9">
        <v>54</v>
      </c>
      <c r="BE12" s="9">
        <v>55</v>
      </c>
      <c r="BF12" s="9">
        <v>56</v>
      </c>
      <c r="BG12" s="9">
        <v>57</v>
      </c>
      <c r="BH12" s="9">
        <v>58</v>
      </c>
      <c r="BI12" s="9">
        <v>59</v>
      </c>
      <c r="BJ12" s="9">
        <v>60</v>
      </c>
      <c r="BM12" s="9" t="s">
        <v>13</v>
      </c>
      <c r="BN12" s="9"/>
    </row>
    <row r="13" spans="1:66" ht="12.75">
      <c r="A13" s="12" t="s">
        <v>14</v>
      </c>
      <c r="B13" s="13" t="s">
        <v>15</v>
      </c>
      <c r="C13" s="41">
        <v>1250</v>
      </c>
      <c r="D13" s="6">
        <v>1100</v>
      </c>
      <c r="E13" s="6">
        <v>1000</v>
      </c>
      <c r="F13" s="6">
        <v>928</v>
      </c>
      <c r="G13" s="6">
        <v>871</v>
      </c>
      <c r="H13" s="6">
        <v>818</v>
      </c>
      <c r="I13" s="6">
        <v>771</v>
      </c>
      <c r="J13" s="6">
        <v>727</v>
      </c>
      <c r="K13" s="6">
        <v>686</v>
      </c>
      <c r="L13" s="6">
        <v>648</v>
      </c>
      <c r="M13" s="6">
        <v>613</v>
      </c>
      <c r="N13" s="16">
        <v>580</v>
      </c>
      <c r="O13" s="6">
        <v>550</v>
      </c>
      <c r="P13" s="6">
        <v>523</v>
      </c>
      <c r="Q13" s="6">
        <v>498</v>
      </c>
      <c r="R13" s="6">
        <v>475</v>
      </c>
      <c r="S13" s="6">
        <v>455</v>
      </c>
      <c r="T13" s="6">
        <v>437</v>
      </c>
      <c r="U13" s="6">
        <v>422</v>
      </c>
      <c r="V13" s="6">
        <v>409</v>
      </c>
      <c r="W13" s="6">
        <v>398</v>
      </c>
      <c r="X13" s="6">
        <v>389</v>
      </c>
      <c r="Y13" s="6">
        <v>381</v>
      </c>
      <c r="Z13" s="16">
        <v>374</v>
      </c>
      <c r="AA13" s="74">
        <f>O13*0.667</f>
        <v>366.85</v>
      </c>
      <c r="AB13" s="6">
        <v>361</v>
      </c>
      <c r="AC13" s="6">
        <v>355</v>
      </c>
      <c r="AD13" s="6">
        <v>350</v>
      </c>
      <c r="AE13" s="6">
        <v>345</v>
      </c>
      <c r="AF13" s="6">
        <v>340</v>
      </c>
      <c r="AG13" s="6">
        <v>336</v>
      </c>
      <c r="AH13" s="6">
        <v>332</v>
      </c>
      <c r="AI13" s="6">
        <v>328</v>
      </c>
      <c r="AJ13" s="6">
        <v>325</v>
      </c>
      <c r="AK13" s="6">
        <v>322</v>
      </c>
      <c r="AL13" s="16">
        <v>319</v>
      </c>
      <c r="AM13" s="6">
        <v>316</v>
      </c>
      <c r="AN13" s="6">
        <v>313</v>
      </c>
      <c r="AO13" s="6">
        <v>310</v>
      </c>
      <c r="AP13" s="6">
        <v>307</v>
      </c>
      <c r="AQ13" s="6">
        <v>304</v>
      </c>
      <c r="AR13" s="6">
        <v>301</v>
      </c>
      <c r="AS13" s="6">
        <v>298</v>
      </c>
      <c r="AT13" s="6">
        <v>295</v>
      </c>
      <c r="AU13" s="6">
        <v>292</v>
      </c>
      <c r="AV13" s="6">
        <v>289</v>
      </c>
      <c r="AW13" s="6">
        <v>287</v>
      </c>
      <c r="AX13" s="16">
        <v>285</v>
      </c>
      <c r="AY13" s="6">
        <v>283</v>
      </c>
      <c r="AZ13" s="6">
        <v>281</v>
      </c>
      <c r="BA13" s="6">
        <v>279</v>
      </c>
      <c r="BB13" s="6">
        <v>277</v>
      </c>
      <c r="BC13" s="6">
        <v>275</v>
      </c>
      <c r="BD13" s="6">
        <v>273</v>
      </c>
      <c r="BE13" s="6">
        <v>271</v>
      </c>
      <c r="BF13" s="6">
        <v>269</v>
      </c>
      <c r="BG13" s="6">
        <v>267</v>
      </c>
      <c r="BH13" s="6">
        <v>265</v>
      </c>
      <c r="BI13" s="6">
        <v>263</v>
      </c>
      <c r="BJ13" s="6">
        <v>261</v>
      </c>
      <c r="BM13" s="74">
        <f>SUM(D13:BK13)*0.03</f>
        <v>749.8154999999999</v>
      </c>
      <c r="BN13" s="6" t="s">
        <v>16</v>
      </c>
    </row>
    <row r="14" spans="1:66" ht="12.75">
      <c r="A14" s="12"/>
      <c r="B14" s="13"/>
      <c r="C14" s="34">
        <f>C13/1250*1000</f>
        <v>1000</v>
      </c>
      <c r="D14" s="21">
        <f>D13/1250*1000</f>
        <v>880</v>
      </c>
      <c r="E14" s="21">
        <f>E13/1250*1000</f>
        <v>800</v>
      </c>
      <c r="F14" s="21">
        <f>F13/1250*1000</f>
        <v>742.4</v>
      </c>
      <c r="G14" s="21">
        <f>G13/1250*1000</f>
        <v>696.8</v>
      </c>
      <c r="H14" s="21">
        <f>H13/1250*1000</f>
        <v>654.4</v>
      </c>
      <c r="I14" s="21">
        <f>I13/1250*1000</f>
        <v>616.8000000000001</v>
      </c>
      <c r="J14" s="21">
        <f>J13/1250*1000</f>
        <v>581.6</v>
      </c>
      <c r="K14" s="21">
        <f>K13/1250*1000</f>
        <v>548.8</v>
      </c>
      <c r="L14" s="21">
        <f>L13/1250*1000</f>
        <v>518.4</v>
      </c>
      <c r="M14" s="21">
        <f>M13/1250*1000</f>
        <v>490.4</v>
      </c>
      <c r="N14" s="75">
        <f>N13/1250*1000</f>
        <v>464</v>
      </c>
      <c r="O14" s="21">
        <f>O13/1250*1000</f>
        <v>440</v>
      </c>
      <c r="P14" s="21">
        <f>P13/1250*1000</f>
        <v>418.4</v>
      </c>
      <c r="Q14" s="21">
        <f>Q13/1250*1000</f>
        <v>398.4</v>
      </c>
      <c r="R14" s="21">
        <f>R13/1250*1000</f>
        <v>380</v>
      </c>
      <c r="S14" s="21">
        <f>S13/1250*1000</f>
        <v>364</v>
      </c>
      <c r="T14" s="21">
        <f>T13/1250*1000</f>
        <v>349.6</v>
      </c>
      <c r="U14" s="21">
        <f>U13/1250*1000</f>
        <v>337.6</v>
      </c>
      <c r="V14" s="21">
        <f>V13/1250*1000</f>
        <v>327.2</v>
      </c>
      <c r="W14" s="21">
        <f>W13/1250*1000</f>
        <v>318.40000000000003</v>
      </c>
      <c r="X14" s="21">
        <f>X13/1250*1000</f>
        <v>311.2</v>
      </c>
      <c r="Y14" s="21">
        <f>Y13/1250*1000</f>
        <v>304.8</v>
      </c>
      <c r="Z14" s="75">
        <f>Z13/1250*1000</f>
        <v>299.20000000000005</v>
      </c>
      <c r="AA14" s="21">
        <f>AA13/1250*1000</f>
        <v>293.48</v>
      </c>
      <c r="AB14" s="21">
        <f>AB13/1250*1000</f>
        <v>288.8</v>
      </c>
      <c r="AC14" s="21">
        <f>AC13/1250*1000</f>
        <v>284</v>
      </c>
      <c r="AD14" s="21">
        <f>AD13/1250*1000</f>
        <v>280</v>
      </c>
      <c r="AE14" s="21">
        <f>AE13/1250*1000</f>
        <v>276</v>
      </c>
      <c r="AF14" s="21">
        <f>AF13/1250*1000</f>
        <v>272</v>
      </c>
      <c r="AG14" s="21">
        <f>AG13/1250*1000</f>
        <v>268.8</v>
      </c>
      <c r="AH14" s="21">
        <f>AH13/1250*1000</f>
        <v>265.6</v>
      </c>
      <c r="AI14" s="21">
        <f>AI13/1250*1000</f>
        <v>262.40000000000003</v>
      </c>
      <c r="AJ14" s="21">
        <f>AJ13/1250*1000</f>
        <v>260</v>
      </c>
      <c r="AK14" s="21">
        <f>AK13/1250*1000</f>
        <v>257.6</v>
      </c>
      <c r="AL14" s="75">
        <f>AL13/1250*1000</f>
        <v>255.2</v>
      </c>
      <c r="AM14" s="21">
        <f>AM13/1250*1000</f>
        <v>252.8</v>
      </c>
      <c r="AN14" s="21">
        <f>AN13/1250*1000</f>
        <v>250.4</v>
      </c>
      <c r="AO14" s="21">
        <f>AO13/1250*1000</f>
        <v>248</v>
      </c>
      <c r="AP14" s="21">
        <f>AP13/1250*1000</f>
        <v>245.60000000000002</v>
      </c>
      <c r="AQ14" s="21">
        <f>AQ13/1250*1000</f>
        <v>243.2</v>
      </c>
      <c r="AR14" s="21">
        <f>AR13/1250*1000</f>
        <v>240.79999999999998</v>
      </c>
      <c r="AS14" s="21">
        <f>AS13/1250*1000</f>
        <v>238.4</v>
      </c>
      <c r="AT14" s="21">
        <f>AT13/1250*1000</f>
        <v>236</v>
      </c>
      <c r="AU14" s="21">
        <f>AU13/1250*1000</f>
        <v>233.6</v>
      </c>
      <c r="AV14" s="21">
        <f>AV13/1250*1000</f>
        <v>231.2</v>
      </c>
      <c r="AW14" s="21">
        <f>AW13/1250*1000</f>
        <v>229.6</v>
      </c>
      <c r="AX14" s="75">
        <f>AX13/1250*1000</f>
        <v>228</v>
      </c>
      <c r="AY14" s="21">
        <f>AY13/1250*1000</f>
        <v>226.39999999999998</v>
      </c>
      <c r="AZ14" s="21">
        <f>AZ13/1250*1000</f>
        <v>224.8</v>
      </c>
      <c r="BA14" s="21">
        <f>BA13/1250*1000</f>
        <v>223.20000000000002</v>
      </c>
      <c r="BB14" s="21">
        <f>BB13/1250*1000</f>
        <v>221.6</v>
      </c>
      <c r="BC14" s="21">
        <f>BC13/1250*1000</f>
        <v>220</v>
      </c>
      <c r="BD14" s="21">
        <f>BD13/1250*1000</f>
        <v>218.4</v>
      </c>
      <c r="BE14" s="21">
        <f>BE13/1250*1000</f>
        <v>216.79999999999998</v>
      </c>
      <c r="BF14" s="21">
        <f>BF13/1250*1000</f>
        <v>215.2</v>
      </c>
      <c r="BG14" s="21">
        <f>BG13/1250*1000</f>
        <v>213.60000000000002</v>
      </c>
      <c r="BH14" s="21">
        <f>BH13/1250*1000</f>
        <v>212</v>
      </c>
      <c r="BI14" s="21">
        <f>BI13/1250*1000</f>
        <v>210.4</v>
      </c>
      <c r="BJ14" s="21">
        <f>BJ13/1250*1000</f>
        <v>208.8</v>
      </c>
      <c r="BM14" s="21">
        <f>SUM(D14:BK14)*30/1000</f>
        <v>599.8523999999999</v>
      </c>
      <c r="BN14" s="11" t="s">
        <v>16</v>
      </c>
    </row>
    <row r="15" spans="1:66" ht="12.75">
      <c r="A15" s="12"/>
      <c r="B15" s="13"/>
      <c r="C15" s="34">
        <v>1300</v>
      </c>
      <c r="D15" s="21">
        <f>D13/1250*1300</f>
        <v>1144</v>
      </c>
      <c r="E15" s="21">
        <f>E13/1250*1300</f>
        <v>1040</v>
      </c>
      <c r="F15" s="21">
        <f>F13/1250*1300</f>
        <v>965.1199999999999</v>
      </c>
      <c r="G15" s="21">
        <f>G13/1250*1300</f>
        <v>905.8399999999999</v>
      </c>
      <c r="H15" s="21">
        <f>H13/1250*1300</f>
        <v>850.72</v>
      </c>
      <c r="I15" s="21">
        <f>I13/1250*1300</f>
        <v>801.84</v>
      </c>
      <c r="J15" s="21">
        <f>J13/1250*1300</f>
        <v>756.08</v>
      </c>
      <c r="K15" s="21">
        <f>K13/1250*1300</f>
        <v>713.4399999999999</v>
      </c>
      <c r="L15" s="21">
        <f>L13/1250*1300</f>
        <v>673.92</v>
      </c>
      <c r="M15" s="21">
        <f>M13/1250*1300</f>
        <v>637.52</v>
      </c>
      <c r="N15" s="75">
        <f>N13/1250*1300</f>
        <v>603.2</v>
      </c>
      <c r="O15" s="21">
        <f>O13/1250*1300</f>
        <v>572</v>
      </c>
      <c r="P15" s="21">
        <f>P13/1250*1300</f>
        <v>543.92</v>
      </c>
      <c r="Q15" s="21">
        <f>Q13/1250*1300</f>
        <v>517.92</v>
      </c>
      <c r="R15" s="21">
        <f>R13/1250*1300</f>
        <v>494</v>
      </c>
      <c r="S15" s="21">
        <f>S13/1250*1300</f>
        <v>473.2</v>
      </c>
      <c r="T15" s="21">
        <f>T13/1250*1300</f>
        <v>454.48</v>
      </c>
      <c r="U15" s="21">
        <f>U13/1250*1300</f>
        <v>438.88</v>
      </c>
      <c r="V15" s="21">
        <f>V13/1250*1300</f>
        <v>425.36</v>
      </c>
      <c r="W15" s="21">
        <f>W13/1250*1300</f>
        <v>413.92</v>
      </c>
      <c r="X15" s="21">
        <f>X13/1250*1300</f>
        <v>404.55999999999995</v>
      </c>
      <c r="Y15" s="21">
        <f>Y13/1250*1300</f>
        <v>396.24</v>
      </c>
      <c r="Z15" s="75">
        <f>Z13/1250*1300</f>
        <v>388.96000000000004</v>
      </c>
      <c r="AA15" s="21">
        <f>AA13/1250*1300</f>
        <v>381.524</v>
      </c>
      <c r="AB15" s="21">
        <f>AB13/1250*1300</f>
        <v>375.44</v>
      </c>
      <c r="AC15" s="21">
        <f>AC13/1250*1300</f>
        <v>369.2</v>
      </c>
      <c r="AD15" s="21">
        <f>AD13/1250*1300</f>
        <v>364.00000000000006</v>
      </c>
      <c r="AE15" s="21">
        <f>AE13/1250*1300</f>
        <v>358.8</v>
      </c>
      <c r="AF15" s="21">
        <f>AF13/1250*1300</f>
        <v>353.6</v>
      </c>
      <c r="AG15" s="21">
        <f>AG13/1250*1300</f>
        <v>349.44</v>
      </c>
      <c r="AH15" s="21">
        <f>AH13/1250*1300</f>
        <v>345.28000000000003</v>
      </c>
      <c r="AI15" s="21">
        <f>AI13/1250*1300</f>
        <v>341.12</v>
      </c>
      <c r="AJ15" s="21">
        <f>AJ13/1250*1300</f>
        <v>338</v>
      </c>
      <c r="AK15" s="21">
        <f>AK13/1250*1300</f>
        <v>334.88</v>
      </c>
      <c r="AL15" s="75">
        <f>AL13/1250*1300</f>
        <v>331.76</v>
      </c>
      <c r="AM15" s="21">
        <f>AM13/1250*1300</f>
        <v>328.64000000000004</v>
      </c>
      <c r="AN15" s="21">
        <f>AN13/1250*1300</f>
        <v>325.52000000000004</v>
      </c>
      <c r="AO15" s="21">
        <f>AO13/1250*1300</f>
        <v>322.4</v>
      </c>
      <c r="AP15" s="21">
        <f>AP13/1250*1300</f>
        <v>319.28000000000003</v>
      </c>
      <c r="AQ15" s="21">
        <f>AQ13/1250*1300</f>
        <v>316.16</v>
      </c>
      <c r="AR15" s="21">
        <f>AR13/1250*1300</f>
        <v>313.03999999999996</v>
      </c>
      <c r="AS15" s="21">
        <f>AS13/1250*1300</f>
        <v>309.92</v>
      </c>
      <c r="AT15" s="21">
        <f>AT13/1250*1300</f>
        <v>306.8</v>
      </c>
      <c r="AU15" s="21">
        <f>AU13/1250*1300</f>
        <v>303.68</v>
      </c>
      <c r="AV15" s="21">
        <f>AV13/1250*1300</f>
        <v>300.56</v>
      </c>
      <c r="AW15" s="21">
        <f>AW13/1250*1300</f>
        <v>298.48</v>
      </c>
      <c r="AX15" s="75">
        <f>AX13/1250*1300</f>
        <v>296.40000000000003</v>
      </c>
      <c r="AY15" s="21">
        <f>AY13/1250*1300</f>
        <v>294.32</v>
      </c>
      <c r="AZ15" s="21">
        <f>AZ13/1250*1300</f>
        <v>292.24</v>
      </c>
      <c r="BA15" s="21">
        <f>BA13/1250*1300</f>
        <v>290.16</v>
      </c>
      <c r="BB15" s="21">
        <f>BB13/1250*1300</f>
        <v>288.08</v>
      </c>
      <c r="BC15" s="21">
        <f>BC13/1250*1300</f>
        <v>286</v>
      </c>
      <c r="BD15" s="21">
        <f>BD13/1250*1300</f>
        <v>283.92</v>
      </c>
      <c r="BE15" s="21">
        <f>BE13/1250*1300</f>
        <v>281.84</v>
      </c>
      <c r="BF15" s="21">
        <f>BF13/1250*1300</f>
        <v>279.76</v>
      </c>
      <c r="BG15" s="21">
        <f>BG13/1250*1300</f>
        <v>277.68</v>
      </c>
      <c r="BH15" s="21">
        <f>BH13/1250*1300</f>
        <v>275.59999999999997</v>
      </c>
      <c r="BI15" s="21">
        <f>BI13/1250*1300</f>
        <v>273.52</v>
      </c>
      <c r="BJ15" s="21">
        <f>BJ13/1250*1300</f>
        <v>271.44</v>
      </c>
      <c r="BM15" s="21">
        <f>SUM(D15:BK15)*30/1000</f>
        <v>779.80812</v>
      </c>
      <c r="BN15" s="11" t="s">
        <v>16</v>
      </c>
    </row>
    <row r="16" spans="1:51" ht="12.75">
      <c r="A16" s="22" t="s">
        <v>170</v>
      </c>
      <c r="D16" s="76">
        <f>C14-D14</f>
        <v>120</v>
      </c>
      <c r="E16" s="76">
        <f>D14-E14</f>
        <v>80</v>
      </c>
      <c r="F16" s="76">
        <f>E14-F14</f>
        <v>57.60000000000002</v>
      </c>
      <c r="G16" s="76">
        <f>F14-G14</f>
        <v>45.60000000000002</v>
      </c>
      <c r="H16" s="76">
        <f>G14-H14</f>
        <v>42.39999999999998</v>
      </c>
      <c r="I16" s="76">
        <f>H14-I14</f>
        <v>37.59999999999991</v>
      </c>
      <c r="J16" s="76">
        <f>I14-J14</f>
        <v>35.200000000000045</v>
      </c>
      <c r="K16" s="76">
        <f>J14-K14</f>
        <v>32.80000000000007</v>
      </c>
      <c r="L16" s="76">
        <f>K14-L14</f>
        <v>30.399999999999977</v>
      </c>
      <c r="M16" s="76">
        <f>L14-M14</f>
        <v>28</v>
      </c>
      <c r="N16" s="77">
        <f>M14-N14</f>
        <v>26.399999999999977</v>
      </c>
      <c r="O16" s="76">
        <f>N14-O14</f>
        <v>24</v>
      </c>
      <c r="P16" s="76">
        <f>O14-P14</f>
        <v>21.600000000000023</v>
      </c>
      <c r="Q16" s="76">
        <f>P14-Q14</f>
        <v>20</v>
      </c>
      <c r="R16" s="76">
        <f>Q14-R14</f>
        <v>18.399999999999977</v>
      </c>
      <c r="S16" s="76">
        <f>R14-S14</f>
        <v>16</v>
      </c>
      <c r="T16" s="76">
        <f>S14-T14</f>
        <v>14.399999999999977</v>
      </c>
      <c r="U16" s="76">
        <f>T14-U14</f>
        <v>12</v>
      </c>
      <c r="V16" s="76">
        <f>U14-V14</f>
        <v>10.400000000000034</v>
      </c>
      <c r="W16" s="76">
        <f>V14-W14</f>
        <v>8.799999999999955</v>
      </c>
      <c r="X16" s="76">
        <f>W14-X14</f>
        <v>7.2000000000000455</v>
      </c>
      <c r="Y16" s="76">
        <f>X14-Y14</f>
        <v>6.399999999999977</v>
      </c>
      <c r="Z16" s="77">
        <f>Y14-Z14</f>
        <v>5.599999999999966</v>
      </c>
      <c r="AA16" s="76">
        <f>Z14-AA14</f>
        <v>5.720000000000027</v>
      </c>
      <c r="AB16" s="76">
        <f>AA14-AB14</f>
        <v>4.680000000000007</v>
      </c>
      <c r="AC16" s="76">
        <f>AB14-AC14</f>
        <v>4.800000000000011</v>
      </c>
      <c r="AD16" s="76">
        <f>AC14-AD14</f>
        <v>4</v>
      </c>
      <c r="AE16" s="76">
        <f>AD14-AE14</f>
        <v>4</v>
      </c>
      <c r="AF16" s="76">
        <f>AE14-AF14</f>
        <v>4</v>
      </c>
      <c r="AG16" s="76">
        <f>AF14-AG14</f>
        <v>3.1999999999999886</v>
      </c>
      <c r="AH16" s="76">
        <f>AG14-AH14</f>
        <v>3.1999999999999886</v>
      </c>
      <c r="AI16" s="76">
        <f>AH14-AI14</f>
        <v>3.1999999999999886</v>
      </c>
      <c r="AJ16" s="76">
        <f>AI14-AJ14</f>
        <v>2.400000000000034</v>
      </c>
      <c r="AK16" s="25">
        <v>3</v>
      </c>
      <c r="AL16" s="24">
        <v>3</v>
      </c>
      <c r="AM16" s="25">
        <v>3</v>
      </c>
      <c r="AN16" s="25">
        <v>4</v>
      </c>
      <c r="AO16" s="25">
        <v>4</v>
      </c>
      <c r="AP16" s="25">
        <v>4</v>
      </c>
      <c r="AQ16" s="25">
        <v>4</v>
      </c>
      <c r="AR16" s="25">
        <v>4</v>
      </c>
      <c r="AS16" s="25">
        <v>5</v>
      </c>
      <c r="AT16" s="25">
        <v>6</v>
      </c>
      <c r="AU16" s="25">
        <v>7</v>
      </c>
      <c r="AV16" s="25">
        <v>8</v>
      </c>
      <c r="AW16" s="25">
        <v>9</v>
      </c>
      <c r="AX16" s="25">
        <v>10</v>
      </c>
      <c r="AY16" s="25">
        <v>11</v>
      </c>
    </row>
    <row r="17" spans="1:51" ht="12.75">
      <c r="A17" s="22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25"/>
      <c r="AL17" s="24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ht="12.75">
      <c r="AM18" s="25"/>
    </row>
    <row r="19" spans="1:65" ht="12.75">
      <c r="A19" s="30" t="s">
        <v>171</v>
      </c>
      <c r="BM19" s="70" t="s">
        <v>172</v>
      </c>
    </row>
    <row r="20" spans="1:65" ht="12.75">
      <c r="A20" s="62" t="s">
        <v>173</v>
      </c>
      <c r="B20" s="27">
        <v>-1100000</v>
      </c>
      <c r="C20" s="26">
        <f>C14*30*4</f>
        <v>120000</v>
      </c>
      <c r="D20" s="23">
        <f>D14*30*4</f>
        <v>105600</v>
      </c>
      <c r="E20" s="23">
        <f>E14*30*4</f>
        <v>96000</v>
      </c>
      <c r="F20" s="23">
        <f>F14*30*4</f>
        <v>89088</v>
      </c>
      <c r="G20" s="23">
        <f>G14*30*4</f>
        <v>83616</v>
      </c>
      <c r="H20" s="23">
        <f>H14*30*4</f>
        <v>78528</v>
      </c>
      <c r="I20" s="23">
        <f>I14*30*4</f>
        <v>74016.00000000001</v>
      </c>
      <c r="J20" s="23">
        <f>J14*30*4</f>
        <v>69792</v>
      </c>
      <c r="K20" s="23">
        <f>K14*30*4</f>
        <v>65856</v>
      </c>
      <c r="L20" s="23">
        <f>L14*30*4</f>
        <v>62208</v>
      </c>
      <c r="M20" s="23">
        <f>M14*30*4</f>
        <v>58848</v>
      </c>
      <c r="N20" s="39">
        <f>N14*30*4</f>
        <v>55680</v>
      </c>
      <c r="O20" s="23">
        <f>O14*30*4</f>
        <v>52800</v>
      </c>
      <c r="P20" s="23">
        <f>P14*30*4</f>
        <v>50208</v>
      </c>
      <c r="Q20" s="23">
        <f>Q14*30*4</f>
        <v>47808</v>
      </c>
      <c r="R20" s="23">
        <f>R14*30*4</f>
        <v>45600</v>
      </c>
      <c r="S20" s="23">
        <f>S14*30*4</f>
        <v>43680</v>
      </c>
      <c r="T20" s="23">
        <f>T14*30*4</f>
        <v>41952</v>
      </c>
      <c r="U20" s="23">
        <f>U14*30*4</f>
        <v>40512</v>
      </c>
      <c r="V20" s="23">
        <f>V14*30*4</f>
        <v>39264</v>
      </c>
      <c r="W20" s="23">
        <f>W14*30*4</f>
        <v>38208.00000000001</v>
      </c>
      <c r="X20" s="23">
        <f>X14*30*4</f>
        <v>37344</v>
      </c>
      <c r="Y20" s="23">
        <f>Y14*30*4</f>
        <v>36576</v>
      </c>
      <c r="Z20" s="39">
        <f>Z14*30*4</f>
        <v>35904.00000000001</v>
      </c>
      <c r="AA20" s="23">
        <f>AA14*30*4</f>
        <v>35217.600000000006</v>
      </c>
      <c r="AB20" s="23">
        <f>AB14*30*4</f>
        <v>34656</v>
      </c>
      <c r="AC20" s="23">
        <f>AC14*30*4</f>
        <v>34080</v>
      </c>
      <c r="AD20" s="23">
        <f>AD14*30*4</f>
        <v>33600</v>
      </c>
      <c r="AE20" s="23">
        <f>AE14*30*4</f>
        <v>33120</v>
      </c>
      <c r="AF20" s="23">
        <f>AF14*30*4</f>
        <v>32640</v>
      </c>
      <c r="AG20" s="23">
        <f>AG14*30*4</f>
        <v>32256</v>
      </c>
      <c r="AH20" s="23">
        <f>AH14*30*4</f>
        <v>31872.000000000004</v>
      </c>
      <c r="AI20" s="23">
        <f>AI14*30*4</f>
        <v>31488.000000000004</v>
      </c>
      <c r="AJ20" s="23">
        <f>AJ14*30*4</f>
        <v>31200</v>
      </c>
      <c r="AK20" s="23">
        <f>AK14*30*4</f>
        <v>30912.000000000004</v>
      </c>
      <c r="AL20" s="39">
        <f>AL14*30*4</f>
        <v>30624</v>
      </c>
      <c r="AM20" s="23">
        <f>AM14*30*4</f>
        <v>30336</v>
      </c>
      <c r="AN20" s="23">
        <f>AN14*30*4</f>
        <v>30048</v>
      </c>
      <c r="AO20" s="23">
        <f>AO14*30*4</f>
        <v>29760</v>
      </c>
      <c r="AP20" s="23">
        <f>AP14*30*4</f>
        <v>29472.000000000004</v>
      </c>
      <c r="AQ20" s="23">
        <f>AQ14*30*4</f>
        <v>29184</v>
      </c>
      <c r="AR20" s="23">
        <f>AR14*30*4</f>
        <v>28895.999999999996</v>
      </c>
      <c r="AS20" s="23">
        <f>AS14*30*4</f>
        <v>28608</v>
      </c>
      <c r="AT20" s="23">
        <f>AT14*30*4</f>
        <v>28320</v>
      </c>
      <c r="AU20" s="23">
        <f>AU14*30*4</f>
        <v>28032</v>
      </c>
      <c r="AV20" s="23">
        <f>AV14*30*4</f>
        <v>27744</v>
      </c>
      <c r="AW20" s="23">
        <f>AW14*30*4</f>
        <v>27552</v>
      </c>
      <c r="AX20" s="39">
        <f>AX14*30*4</f>
        <v>27360</v>
      </c>
      <c r="AY20" s="23">
        <f>AY14*30*4</f>
        <v>27167.999999999996</v>
      </c>
      <c r="AZ20" s="23">
        <f>AZ14*30*4</f>
        <v>26976</v>
      </c>
      <c r="BA20" s="23">
        <f>BA14*30*4</f>
        <v>26784.000000000004</v>
      </c>
      <c r="BB20" s="23">
        <f>BB14*30*4</f>
        <v>26592</v>
      </c>
      <c r="BC20" s="23">
        <f>BC14*30*4</f>
        <v>26400</v>
      </c>
      <c r="BD20" s="23">
        <f>BD14*30*4</f>
        <v>26208</v>
      </c>
      <c r="BE20" s="23">
        <f>BE14*30*4</f>
        <v>26015.999999999996</v>
      </c>
      <c r="BF20" s="23">
        <f>BF14*30*4</f>
        <v>25824</v>
      </c>
      <c r="BG20" s="23">
        <f>BG14*30*4</f>
        <v>25632.000000000004</v>
      </c>
      <c r="BH20" s="23">
        <f>BH14*30*4</f>
        <v>25440</v>
      </c>
      <c r="BI20" s="23">
        <f>BI14*30*4</f>
        <v>25248</v>
      </c>
      <c r="BJ20" s="23">
        <f>BJ14*30*4</f>
        <v>25056</v>
      </c>
      <c r="BM20" s="78">
        <f>SUM(B20:BJ20)</f>
        <v>1419409.6</v>
      </c>
    </row>
    <row r="21" spans="1:65" ht="12.75">
      <c r="A21" s="62" t="s">
        <v>174</v>
      </c>
      <c r="B21" s="27">
        <v>-1100000</v>
      </c>
      <c r="C21" s="26">
        <f>C14*30*5</f>
        <v>150000</v>
      </c>
      <c r="D21" s="23">
        <f>D14*30*5</f>
        <v>132000</v>
      </c>
      <c r="E21" s="23">
        <f>E14*30*5</f>
        <v>120000</v>
      </c>
      <c r="F21" s="23">
        <f>F14*30*5</f>
        <v>111360</v>
      </c>
      <c r="G21" s="23">
        <f>G14*30*5</f>
        <v>104520</v>
      </c>
      <c r="H21" s="23">
        <f>H14*30*5</f>
        <v>98160</v>
      </c>
      <c r="I21" s="23">
        <f>I14*30*5</f>
        <v>92520.00000000001</v>
      </c>
      <c r="J21" s="23">
        <f>J14*30*5</f>
        <v>87240</v>
      </c>
      <c r="K21" s="23">
        <f>K14*30*5</f>
        <v>82320</v>
      </c>
      <c r="L21" s="23">
        <f>L14*30*5</f>
        <v>77760</v>
      </c>
      <c r="M21" s="23">
        <f>M14*30*5</f>
        <v>73560</v>
      </c>
      <c r="N21" s="39">
        <f>N14*30*5</f>
        <v>69600</v>
      </c>
      <c r="O21" s="23">
        <f>O14*30*5</f>
        <v>66000</v>
      </c>
      <c r="P21" s="23">
        <f>P14*30*5</f>
        <v>62760</v>
      </c>
      <c r="Q21" s="23">
        <f>Q14*30*5</f>
        <v>59760</v>
      </c>
      <c r="R21" s="23">
        <f>R14*30*5</f>
        <v>57000</v>
      </c>
      <c r="S21" s="23">
        <f>S14*30*5</f>
        <v>54600</v>
      </c>
      <c r="T21" s="23">
        <f>T14*30*5</f>
        <v>52440</v>
      </c>
      <c r="U21" s="23">
        <f>U14*30*5</f>
        <v>50640</v>
      </c>
      <c r="V21" s="23">
        <f>V14*30*5</f>
        <v>49080</v>
      </c>
      <c r="W21" s="23">
        <f>W14*30*5</f>
        <v>47760.00000000001</v>
      </c>
      <c r="X21" s="23">
        <f>X14*30*5</f>
        <v>46680</v>
      </c>
      <c r="Y21" s="23">
        <f>Y14*30*5</f>
        <v>45720</v>
      </c>
      <c r="Z21" s="39">
        <f>Z14*30*5</f>
        <v>44880.00000000001</v>
      </c>
      <c r="AA21" s="23">
        <f>AA14*30*5</f>
        <v>44022.00000000001</v>
      </c>
      <c r="AB21" s="23">
        <f>AB14*30*5</f>
        <v>43320</v>
      </c>
      <c r="AC21" s="23">
        <f>AC14*30*5</f>
        <v>42600</v>
      </c>
      <c r="AD21" s="23">
        <f>AD14*30*5</f>
        <v>42000</v>
      </c>
      <c r="AE21" s="23">
        <f>AE14*30*5</f>
        <v>41400</v>
      </c>
      <c r="AF21" s="23">
        <f>AF14*30*5</f>
        <v>40800</v>
      </c>
      <c r="AG21" s="23">
        <f>AG14*30*5</f>
        <v>40320</v>
      </c>
      <c r="AH21" s="23">
        <f>AH14*30*5</f>
        <v>39840.00000000001</v>
      </c>
      <c r="AI21" s="23">
        <f>AI14*30*5</f>
        <v>39360.00000000001</v>
      </c>
      <c r="AJ21" s="23">
        <f>AJ14*30*5</f>
        <v>39000</v>
      </c>
      <c r="AK21" s="23">
        <f>AK14*30*5</f>
        <v>38640.00000000001</v>
      </c>
      <c r="AL21" s="39">
        <f>AL14*30*5</f>
        <v>38280</v>
      </c>
      <c r="AM21" s="23">
        <f>AM14*30*5</f>
        <v>37920</v>
      </c>
      <c r="AN21" s="23">
        <f>AN14*30*5</f>
        <v>37560</v>
      </c>
      <c r="AO21" s="23">
        <f>AO14*30*5</f>
        <v>37200</v>
      </c>
      <c r="AP21" s="23">
        <f>AP14*30*5</f>
        <v>36840.00000000001</v>
      </c>
      <c r="AQ21" s="23">
        <f>AQ14*30*5</f>
        <v>36480</v>
      </c>
      <c r="AR21" s="23">
        <f>AR14*30*5</f>
        <v>36119.99999999999</v>
      </c>
      <c r="AS21" s="23">
        <f>AS14*30*5</f>
        <v>35760</v>
      </c>
      <c r="AT21" s="23">
        <f>AT14*30*5</f>
        <v>35400</v>
      </c>
      <c r="AU21" s="23">
        <f>AU14*30*5</f>
        <v>35040</v>
      </c>
      <c r="AV21" s="23">
        <f>AV14*30*5</f>
        <v>34680</v>
      </c>
      <c r="AW21" s="23">
        <f>AW14*30*5</f>
        <v>34440</v>
      </c>
      <c r="AX21" s="39">
        <f>AX14*30*5</f>
        <v>34200</v>
      </c>
      <c r="AY21" s="23">
        <f>AY14*30*5</f>
        <v>33959.99999999999</v>
      </c>
      <c r="AZ21" s="23">
        <f>AZ14*30*5</f>
        <v>33720</v>
      </c>
      <c r="BA21" s="23">
        <f>BA14*30*5</f>
        <v>33480.00000000001</v>
      </c>
      <c r="BB21" s="23">
        <f>BB14*30*5</f>
        <v>33240</v>
      </c>
      <c r="BC21" s="23">
        <f>BC14*30*5</f>
        <v>33000</v>
      </c>
      <c r="BD21" s="23">
        <f>BD14*30*5</f>
        <v>32760</v>
      </c>
      <c r="BE21" s="23">
        <f>BE14*30*5</f>
        <v>32519.999999999996</v>
      </c>
      <c r="BF21" s="23">
        <f>BF14*30*5</f>
        <v>32280</v>
      </c>
      <c r="BG21" s="23">
        <f>BG14*30*5</f>
        <v>32040.000000000004</v>
      </c>
      <c r="BH21" s="23">
        <f>BH14*30*5</f>
        <v>31800</v>
      </c>
      <c r="BI21" s="23">
        <f>BI14*30*5</f>
        <v>31560</v>
      </c>
      <c r="BJ21" s="23">
        <f>BJ14*30*5</f>
        <v>31320</v>
      </c>
      <c r="BM21" s="78">
        <f>SUM(B21:BJ21)</f>
        <v>2049262</v>
      </c>
    </row>
    <row r="22" spans="1:65" ht="12.75">
      <c r="A22" s="62" t="s">
        <v>175</v>
      </c>
      <c r="B22" s="27">
        <v>-1100000</v>
      </c>
      <c r="C22" s="26">
        <f>C14*30*6</f>
        <v>180000</v>
      </c>
      <c r="D22" s="23">
        <f>D14*30*6</f>
        <v>158400</v>
      </c>
      <c r="E22" s="23">
        <f>E14*30*6</f>
        <v>144000</v>
      </c>
      <c r="F22" s="23">
        <f>F14*30*6</f>
        <v>133632</v>
      </c>
      <c r="G22" s="23">
        <f>G14*30*6</f>
        <v>125424</v>
      </c>
      <c r="H22" s="23">
        <f>H14*30*6</f>
        <v>117792</v>
      </c>
      <c r="I22" s="23">
        <f>I14*30*6</f>
        <v>111024.00000000003</v>
      </c>
      <c r="J22" s="23">
        <f>J14*30*6</f>
        <v>104688</v>
      </c>
      <c r="K22" s="23">
        <f>K14*30*6</f>
        <v>98784</v>
      </c>
      <c r="L22" s="23">
        <f>L14*30*6</f>
        <v>93312</v>
      </c>
      <c r="M22" s="23">
        <f>M14*30*6</f>
        <v>88272</v>
      </c>
      <c r="N22" s="39">
        <f>N14*30*6</f>
        <v>83520</v>
      </c>
      <c r="O22" s="23">
        <f>O14*30*6</f>
        <v>79200</v>
      </c>
      <c r="P22" s="23">
        <f>P14*30*6</f>
        <v>75312</v>
      </c>
      <c r="Q22" s="23">
        <f>Q14*30*6</f>
        <v>71712</v>
      </c>
      <c r="R22" s="23">
        <f>R14*30*6</f>
        <v>68400</v>
      </c>
      <c r="S22" s="23">
        <f>S14*30*6</f>
        <v>65520</v>
      </c>
      <c r="T22" s="23">
        <f>T14*30*6</f>
        <v>62928</v>
      </c>
      <c r="U22" s="23">
        <f>U14*30*6</f>
        <v>60768</v>
      </c>
      <c r="V22" s="23">
        <f>V14*30*6</f>
        <v>58896</v>
      </c>
      <c r="W22" s="23">
        <f>W14*30*6</f>
        <v>57312.000000000015</v>
      </c>
      <c r="X22" s="23">
        <f>X14*30*6</f>
        <v>56016</v>
      </c>
      <c r="Y22" s="23">
        <f>Y14*30*6</f>
        <v>54864</v>
      </c>
      <c r="Z22" s="39">
        <f>Z14*30*6</f>
        <v>53856.000000000015</v>
      </c>
      <c r="AA22" s="23">
        <f>AA14*30*6</f>
        <v>52826.40000000001</v>
      </c>
      <c r="AB22" s="23">
        <f>AB14*30*6</f>
        <v>51984</v>
      </c>
      <c r="AC22" s="23">
        <f>AC14*30*6</f>
        <v>51120</v>
      </c>
      <c r="AD22" s="23">
        <f>AD14*30*6</f>
        <v>50400</v>
      </c>
      <c r="AE22" s="23">
        <f>AE14*30*6</f>
        <v>49680</v>
      </c>
      <c r="AF22" s="23">
        <f>AF14*30*6</f>
        <v>48960</v>
      </c>
      <c r="AG22" s="23">
        <f>AG14*30*6</f>
        <v>48384</v>
      </c>
      <c r="AH22" s="23">
        <f>AH14*30*6</f>
        <v>47808.00000000001</v>
      </c>
      <c r="AI22" s="23">
        <f>AI14*30*6</f>
        <v>47232.00000000001</v>
      </c>
      <c r="AJ22" s="23">
        <f>AJ14*30*6</f>
        <v>46800</v>
      </c>
      <c r="AK22" s="23">
        <f>AK14*30*6</f>
        <v>46368.00000000001</v>
      </c>
      <c r="AL22" s="39">
        <f>AL14*30*6</f>
        <v>45936</v>
      </c>
      <c r="AM22" s="23">
        <f>AM14*30*6</f>
        <v>45504</v>
      </c>
      <c r="AN22" s="23">
        <f>AN14*30*6</f>
        <v>45072</v>
      </c>
      <c r="AO22" s="23">
        <f>AO14*30*6</f>
        <v>44640</v>
      </c>
      <c r="AP22" s="23">
        <f>AP14*30*6</f>
        <v>44208.00000000001</v>
      </c>
      <c r="AQ22" s="23">
        <f>AQ14*30*6</f>
        <v>43776</v>
      </c>
      <c r="AR22" s="23">
        <f>AR14*30*6</f>
        <v>43343.99999999999</v>
      </c>
      <c r="AS22" s="23">
        <f>AS14*30*6</f>
        <v>42912</v>
      </c>
      <c r="AT22" s="23">
        <f>AT14*30*6</f>
        <v>42480</v>
      </c>
      <c r="AU22" s="23">
        <f>AU14*30*6</f>
        <v>42048</v>
      </c>
      <c r="AV22" s="23">
        <f>AV14*30*6</f>
        <v>41616</v>
      </c>
      <c r="AW22" s="23">
        <f>AW14*30*6</f>
        <v>41328</v>
      </c>
      <c r="AX22" s="39">
        <f>AX14*30*6</f>
        <v>41040</v>
      </c>
      <c r="AY22" s="23">
        <f>AY14*30*6</f>
        <v>40751.99999999999</v>
      </c>
      <c r="AZ22" s="23">
        <f>AZ14*30*6</f>
        <v>40464</v>
      </c>
      <c r="BA22" s="23">
        <f>BA14*30*6</f>
        <v>40176.00000000001</v>
      </c>
      <c r="BB22" s="23">
        <f>BB14*30*6</f>
        <v>39888</v>
      </c>
      <c r="BC22" s="23">
        <f>BC14*30*6</f>
        <v>39600</v>
      </c>
      <c r="BD22" s="23">
        <f>BD14*30*6</f>
        <v>39312</v>
      </c>
      <c r="BE22" s="23">
        <f>BE14*30*6</f>
        <v>39023.99999999999</v>
      </c>
      <c r="BF22" s="23">
        <f>BF14*30*6</f>
        <v>38736</v>
      </c>
      <c r="BG22" s="23">
        <f>BG14*30*6</f>
        <v>38448.00000000001</v>
      </c>
      <c r="BH22" s="23">
        <f>BH14*30*6</f>
        <v>38160</v>
      </c>
      <c r="BI22" s="23">
        <f>BI14*30*6</f>
        <v>37872</v>
      </c>
      <c r="BJ22" s="23">
        <f>BJ14*30*6</f>
        <v>37584</v>
      </c>
      <c r="BM22" s="78">
        <f>SUM(B22:BJ22)</f>
        <v>2679114.4</v>
      </c>
    </row>
    <row r="23" spans="1:65" ht="12.75">
      <c r="A23" s="62" t="s">
        <v>176</v>
      </c>
      <c r="B23" s="27">
        <v>-1100000</v>
      </c>
      <c r="C23" s="26">
        <f>C15*30*4</f>
        <v>156000</v>
      </c>
      <c r="D23" s="23">
        <f>D15*30*4</f>
        <v>137280</v>
      </c>
      <c r="E23" s="23">
        <f>E15*30*4</f>
        <v>124800</v>
      </c>
      <c r="F23" s="23">
        <f>F15*30*4</f>
        <v>115814.4</v>
      </c>
      <c r="G23" s="23">
        <f>G15*30*4</f>
        <v>108700.79999999999</v>
      </c>
      <c r="H23" s="23">
        <f>H15*30*4</f>
        <v>102086.40000000001</v>
      </c>
      <c r="I23" s="23">
        <f>I15*30*4</f>
        <v>96220.8</v>
      </c>
      <c r="J23" s="23">
        <f>J15*30*4</f>
        <v>90729.6</v>
      </c>
      <c r="K23" s="23">
        <f>K15*30*4</f>
        <v>85612.79999999999</v>
      </c>
      <c r="L23" s="23">
        <f>L15*30*4</f>
        <v>80870.4</v>
      </c>
      <c r="M23" s="23">
        <f>M15*30*4</f>
        <v>76502.4</v>
      </c>
      <c r="N23" s="39">
        <f>N15*30*4</f>
        <v>72384</v>
      </c>
      <c r="O23" s="23">
        <f>O15*30*4</f>
        <v>68640</v>
      </c>
      <c r="P23" s="23">
        <f>P15*30*4</f>
        <v>65270.399999999994</v>
      </c>
      <c r="Q23" s="23">
        <f>Q15*30*4</f>
        <v>62150.399999999994</v>
      </c>
      <c r="R23" s="23">
        <f>R15*30*4</f>
        <v>59280</v>
      </c>
      <c r="S23" s="23">
        <f>S15*30*4</f>
        <v>56784</v>
      </c>
      <c r="T23" s="23">
        <f>T15*30*4</f>
        <v>54537.600000000006</v>
      </c>
      <c r="U23" s="23">
        <f>U15*30*4</f>
        <v>52665.6</v>
      </c>
      <c r="V23" s="23">
        <f>V15*30*4</f>
        <v>51043.200000000004</v>
      </c>
      <c r="W23" s="23">
        <f>W15*30*4</f>
        <v>49670.4</v>
      </c>
      <c r="X23" s="23">
        <f>X15*30*4</f>
        <v>48547.2</v>
      </c>
      <c r="Y23" s="23">
        <f>Y15*30*4</f>
        <v>47548.8</v>
      </c>
      <c r="Z23" s="39">
        <f>Z15*30*4</f>
        <v>46675.200000000004</v>
      </c>
      <c r="AA23" s="23">
        <f>AA15*30*4</f>
        <v>45782.88</v>
      </c>
      <c r="AB23" s="23">
        <f>AB15*30*4</f>
        <v>45052.8</v>
      </c>
      <c r="AC23" s="23">
        <f>AC15*30*4</f>
        <v>44304</v>
      </c>
      <c r="AD23" s="23">
        <f>AD15*30*4</f>
        <v>43680.00000000001</v>
      </c>
      <c r="AE23" s="23">
        <f>AE15*30*4</f>
        <v>43056</v>
      </c>
      <c r="AF23" s="23">
        <f>AF15*30*4</f>
        <v>42432</v>
      </c>
      <c r="AG23" s="23">
        <f>AG15*30*4</f>
        <v>41932.8</v>
      </c>
      <c r="AH23" s="23">
        <f>AH15*30*4</f>
        <v>41433.600000000006</v>
      </c>
      <c r="AI23" s="23">
        <f>AI15*30*4</f>
        <v>40934.4</v>
      </c>
      <c r="AJ23" s="23">
        <f>AJ15*30*4</f>
        <v>40560</v>
      </c>
      <c r="AK23" s="23">
        <f>AK15*30*4</f>
        <v>40185.6</v>
      </c>
      <c r="AL23" s="39">
        <f>AL15*30*4</f>
        <v>39811.2</v>
      </c>
      <c r="AM23" s="23">
        <f>AM15*30*4</f>
        <v>39436.8</v>
      </c>
      <c r="AN23" s="23">
        <f>AN15*30*4</f>
        <v>39062.4</v>
      </c>
      <c r="AO23" s="23">
        <f>AO15*30*4</f>
        <v>38688</v>
      </c>
      <c r="AP23" s="23">
        <f>AP15*30*4</f>
        <v>38313.600000000006</v>
      </c>
      <c r="AQ23" s="23">
        <f>AQ15*30*4</f>
        <v>37939.200000000004</v>
      </c>
      <c r="AR23" s="23">
        <f>AR15*30*4</f>
        <v>37564.799999999996</v>
      </c>
      <c r="AS23" s="23">
        <f>AS15*30*4</f>
        <v>37190.4</v>
      </c>
      <c r="AT23" s="23">
        <f>AT15*30*4</f>
        <v>36816</v>
      </c>
      <c r="AU23" s="23">
        <f>AU15*30*4</f>
        <v>36441.6</v>
      </c>
      <c r="AV23" s="23">
        <f>AV15*30*4</f>
        <v>36067.2</v>
      </c>
      <c r="AW23" s="23">
        <f>AW15*30*4</f>
        <v>35817.600000000006</v>
      </c>
      <c r="AX23" s="39">
        <f>AX15*30*4</f>
        <v>35568.00000000001</v>
      </c>
      <c r="AY23" s="23">
        <f>AY15*30*4</f>
        <v>35318.4</v>
      </c>
      <c r="AZ23" s="23">
        <f>AZ15*30*4</f>
        <v>35068.8</v>
      </c>
      <c r="BA23" s="23">
        <f>BA15*30*4</f>
        <v>34819.200000000004</v>
      </c>
      <c r="BB23" s="23">
        <f>BB15*30*4</f>
        <v>34569.6</v>
      </c>
      <c r="BC23" s="23">
        <f>BC15*30*4</f>
        <v>34320</v>
      </c>
      <c r="BD23" s="23">
        <f>BD15*30*4</f>
        <v>34070.4</v>
      </c>
      <c r="BE23" s="23">
        <f>BE15*30*4</f>
        <v>33820.799999999996</v>
      </c>
      <c r="BF23" s="23">
        <f>BF15*30*4</f>
        <v>33571.2</v>
      </c>
      <c r="BG23" s="23">
        <f>BG15*30*4</f>
        <v>33321.6</v>
      </c>
      <c r="BH23" s="23">
        <f>BH15*30*4</f>
        <v>33071.99999999999</v>
      </c>
      <c r="BI23" s="23">
        <f>BI15*30*4</f>
        <v>32822.399999999994</v>
      </c>
      <c r="BJ23" s="23">
        <f>BJ15*30*4</f>
        <v>32572.8</v>
      </c>
      <c r="BM23" s="78">
        <f>SUM(B23:BJ23)</f>
        <v>2175232.4799999995</v>
      </c>
    </row>
    <row r="24" spans="1:65" ht="12.75">
      <c r="A24" s="62" t="s">
        <v>177</v>
      </c>
      <c r="B24" s="27">
        <v>-1100000</v>
      </c>
      <c r="C24" s="26">
        <f>C15*30*5</f>
        <v>195000</v>
      </c>
      <c r="D24" s="23">
        <f>D15*30*5</f>
        <v>171600</v>
      </c>
      <c r="E24" s="23">
        <f>E15*30*5</f>
        <v>156000</v>
      </c>
      <c r="F24" s="23">
        <f>F15*30*5</f>
        <v>144768</v>
      </c>
      <c r="G24" s="23">
        <f>G15*30*5</f>
        <v>135876</v>
      </c>
      <c r="H24" s="23">
        <f>H15*30*5</f>
        <v>127608.00000000001</v>
      </c>
      <c r="I24" s="23">
        <f>I15*30*5</f>
        <v>120276</v>
      </c>
      <c r="J24" s="23">
        <f>J15*30*5</f>
        <v>113412</v>
      </c>
      <c r="K24" s="23">
        <f>K15*30*5</f>
        <v>107015.99999999999</v>
      </c>
      <c r="L24" s="23">
        <f>L15*30*5</f>
        <v>101088</v>
      </c>
      <c r="M24" s="23">
        <f>M15*30*5</f>
        <v>95628</v>
      </c>
      <c r="N24" s="39">
        <f>N15*30*5</f>
        <v>90480</v>
      </c>
      <c r="O24" s="23">
        <f>O15*30*5</f>
        <v>85800</v>
      </c>
      <c r="P24" s="23">
        <f>P15*30*5</f>
        <v>81588</v>
      </c>
      <c r="Q24" s="23">
        <f>Q15*30*5</f>
        <v>77688</v>
      </c>
      <c r="R24" s="23">
        <f>R15*30*5</f>
        <v>74100</v>
      </c>
      <c r="S24" s="23">
        <f>S15*30*5</f>
        <v>70980</v>
      </c>
      <c r="T24" s="23">
        <f>T15*30*5</f>
        <v>68172</v>
      </c>
      <c r="U24" s="23">
        <f>U15*30*5</f>
        <v>65832</v>
      </c>
      <c r="V24" s="23">
        <f>V15*30*5</f>
        <v>63804.00000000001</v>
      </c>
      <c r="W24" s="23">
        <f>W15*30*5</f>
        <v>62088</v>
      </c>
      <c r="X24" s="23">
        <f>X15*30*5</f>
        <v>60684</v>
      </c>
      <c r="Y24" s="23">
        <f>Y15*30*5</f>
        <v>59436</v>
      </c>
      <c r="Z24" s="39">
        <f>Z15*30*5</f>
        <v>58344.00000000001</v>
      </c>
      <c r="AA24" s="23">
        <f>AA15*30*5</f>
        <v>57228.6</v>
      </c>
      <c r="AB24" s="23">
        <f>AB15*30*5</f>
        <v>56316</v>
      </c>
      <c r="AC24" s="23">
        <f>AC15*30*5</f>
        <v>55380</v>
      </c>
      <c r="AD24" s="23">
        <f>AD15*30*5</f>
        <v>54600.00000000001</v>
      </c>
      <c r="AE24" s="23">
        <f>AE15*30*5</f>
        <v>53820</v>
      </c>
      <c r="AF24" s="23">
        <f>AF15*30*5</f>
        <v>53040</v>
      </c>
      <c r="AG24" s="23">
        <f>AG15*30*5</f>
        <v>52416</v>
      </c>
      <c r="AH24" s="23">
        <f>AH15*30*5</f>
        <v>51792.00000000001</v>
      </c>
      <c r="AI24" s="23">
        <f>AI15*30*5</f>
        <v>51168</v>
      </c>
      <c r="AJ24" s="23">
        <f>AJ15*30*5</f>
        <v>50700</v>
      </c>
      <c r="AK24" s="23">
        <f>AK15*30*5</f>
        <v>50232</v>
      </c>
      <c r="AL24" s="39">
        <f>AL15*30*5</f>
        <v>49764</v>
      </c>
      <c r="AM24" s="23">
        <f>AM15*30*5</f>
        <v>49296</v>
      </c>
      <c r="AN24" s="23">
        <f>AN15*30*5</f>
        <v>48828</v>
      </c>
      <c r="AO24" s="23">
        <f>AO15*30*5</f>
        <v>48360</v>
      </c>
      <c r="AP24" s="23">
        <f>AP15*30*5</f>
        <v>47892.00000000001</v>
      </c>
      <c r="AQ24" s="23">
        <f>AQ15*30*5</f>
        <v>47424.00000000001</v>
      </c>
      <c r="AR24" s="23">
        <f>AR15*30*5</f>
        <v>46955.99999999999</v>
      </c>
      <c r="AS24" s="23">
        <f>AS15*30*5</f>
        <v>46488</v>
      </c>
      <c r="AT24" s="23">
        <f>AT15*30*5</f>
        <v>46020</v>
      </c>
      <c r="AU24" s="23">
        <f>AU15*30*5</f>
        <v>45552</v>
      </c>
      <c r="AV24" s="23">
        <f>AV15*30*5</f>
        <v>45084</v>
      </c>
      <c r="AW24" s="23">
        <f>AW15*30*5</f>
        <v>44772.00000000001</v>
      </c>
      <c r="AX24" s="39">
        <f>AX15*30*5</f>
        <v>44460.00000000001</v>
      </c>
      <c r="AY24" s="23">
        <f>AY15*30*5</f>
        <v>44148</v>
      </c>
      <c r="AZ24" s="23">
        <f>AZ15*30*5</f>
        <v>43836</v>
      </c>
      <c r="BA24" s="23">
        <f>BA15*30*5</f>
        <v>43524.00000000001</v>
      </c>
      <c r="BB24" s="23">
        <f>BB15*30*5</f>
        <v>43212</v>
      </c>
      <c r="BC24" s="23">
        <f>BC15*30*5</f>
        <v>42900</v>
      </c>
      <c r="BD24" s="23">
        <f>BD15*30*5</f>
        <v>42588</v>
      </c>
      <c r="BE24" s="23">
        <f>BE15*30*5</f>
        <v>42275.99999999999</v>
      </c>
      <c r="BF24" s="23">
        <f>BF15*30*5</f>
        <v>41964</v>
      </c>
      <c r="BG24" s="23">
        <f>BG15*30*5</f>
        <v>41652</v>
      </c>
      <c r="BH24" s="23">
        <f>BH15*30*5</f>
        <v>41339.99999999999</v>
      </c>
      <c r="BI24" s="23">
        <f>BI15*30*5</f>
        <v>41027.99999999999</v>
      </c>
      <c r="BJ24" s="23">
        <f>BJ15*30*5</f>
        <v>40716</v>
      </c>
      <c r="BM24" s="78">
        <f>SUM(B24:BJ24)</f>
        <v>2994040.6</v>
      </c>
    </row>
    <row r="25" spans="1:65" ht="12.75">
      <c r="A25" s="62" t="s">
        <v>178</v>
      </c>
      <c r="B25" s="27">
        <v>-1100000</v>
      </c>
      <c r="C25" s="26">
        <f>C15*30*6</f>
        <v>234000</v>
      </c>
      <c r="D25" s="23">
        <f>D15*30*6</f>
        <v>205920</v>
      </c>
      <c r="E25" s="23">
        <f>E15*30*6</f>
        <v>187200</v>
      </c>
      <c r="F25" s="23">
        <f>F15*30*6</f>
        <v>173721.59999999998</v>
      </c>
      <c r="G25" s="23">
        <f>G15*30*6</f>
        <v>163051.19999999998</v>
      </c>
      <c r="H25" s="23">
        <f>H15*30*6</f>
        <v>153129.6</v>
      </c>
      <c r="I25" s="23">
        <f>I15*30*6</f>
        <v>144331.2</v>
      </c>
      <c r="J25" s="23">
        <f>J15*30*6</f>
        <v>136094.40000000002</v>
      </c>
      <c r="K25" s="23">
        <f>K15*30*6</f>
        <v>128419.19999999998</v>
      </c>
      <c r="L25" s="23">
        <f>L15*30*6</f>
        <v>121305.59999999999</v>
      </c>
      <c r="M25" s="23">
        <f>M15*30*6</f>
        <v>114753.59999999999</v>
      </c>
      <c r="N25" s="39">
        <f>N15*30*6</f>
        <v>108576</v>
      </c>
      <c r="O25" s="23">
        <f>O15*30*6</f>
        <v>102960</v>
      </c>
      <c r="P25" s="23">
        <f>P15*30*6</f>
        <v>97905.59999999999</v>
      </c>
      <c r="Q25" s="23">
        <f>Q15*30*6</f>
        <v>93225.59999999999</v>
      </c>
      <c r="R25" s="23">
        <f>R15*30*6</f>
        <v>88920</v>
      </c>
      <c r="S25" s="23">
        <f>S15*30*6</f>
        <v>85176</v>
      </c>
      <c r="T25" s="23">
        <f>T15*30*6</f>
        <v>81806.40000000001</v>
      </c>
      <c r="U25" s="23">
        <f>U15*30*6</f>
        <v>78998.4</v>
      </c>
      <c r="V25" s="23">
        <f>V15*30*6</f>
        <v>76564.8</v>
      </c>
      <c r="W25" s="23">
        <f>W15*30*6</f>
        <v>74505.6</v>
      </c>
      <c r="X25" s="23">
        <f>X15*30*6</f>
        <v>72820.79999999999</v>
      </c>
      <c r="Y25" s="23">
        <f>Y15*30*6</f>
        <v>71323.20000000001</v>
      </c>
      <c r="Z25" s="39">
        <f>Z15*30*6</f>
        <v>70012.8</v>
      </c>
      <c r="AA25" s="23">
        <f>AA15*30*6</f>
        <v>68674.31999999999</v>
      </c>
      <c r="AB25" s="23">
        <f>AB15*30*6</f>
        <v>67579.20000000001</v>
      </c>
      <c r="AC25" s="23">
        <f>AC15*30*6</f>
        <v>66456</v>
      </c>
      <c r="AD25" s="23">
        <f>AD15*30*6</f>
        <v>65520.000000000015</v>
      </c>
      <c r="AE25" s="23">
        <f>AE15*30*6</f>
        <v>64584</v>
      </c>
      <c r="AF25" s="23">
        <f>AF15*30*6</f>
        <v>63648</v>
      </c>
      <c r="AG25" s="23">
        <f>AG15*30*6</f>
        <v>62899.200000000004</v>
      </c>
      <c r="AH25" s="23">
        <f>AH15*30*6</f>
        <v>62150.40000000001</v>
      </c>
      <c r="AI25" s="23">
        <f>AI15*30*6</f>
        <v>61401.600000000006</v>
      </c>
      <c r="AJ25" s="23">
        <f>AJ15*30*6</f>
        <v>60840</v>
      </c>
      <c r="AK25" s="23">
        <f>AK15*30*6</f>
        <v>60278.399999999994</v>
      </c>
      <c r="AL25" s="39">
        <f>AL15*30*6</f>
        <v>59716.799999999996</v>
      </c>
      <c r="AM25" s="23">
        <f>AM15*30*6</f>
        <v>59155.200000000004</v>
      </c>
      <c r="AN25" s="23">
        <f>AN15*30*6</f>
        <v>58593.600000000006</v>
      </c>
      <c r="AO25" s="23">
        <f>AO15*30*6</f>
        <v>58032</v>
      </c>
      <c r="AP25" s="23">
        <f>AP15*30*6</f>
        <v>57470.40000000001</v>
      </c>
      <c r="AQ25" s="23">
        <f>AQ15*30*6</f>
        <v>56908.8</v>
      </c>
      <c r="AR25" s="23">
        <f>AR15*30*6</f>
        <v>56347.2</v>
      </c>
      <c r="AS25" s="23">
        <f>AS15*30*6</f>
        <v>55785.600000000006</v>
      </c>
      <c r="AT25" s="23">
        <f>AT15*30*6</f>
        <v>55224</v>
      </c>
      <c r="AU25" s="23">
        <f>AU15*30*6</f>
        <v>54662.399999999994</v>
      </c>
      <c r="AV25" s="23">
        <f>AV15*30*6</f>
        <v>54100.799999999996</v>
      </c>
      <c r="AW25" s="23">
        <f>AW15*30*6</f>
        <v>53726.40000000001</v>
      </c>
      <c r="AX25" s="39">
        <f>AX15*30*6</f>
        <v>53352.000000000015</v>
      </c>
      <c r="AY25" s="23">
        <f>AY15*30*6</f>
        <v>52977.600000000006</v>
      </c>
      <c r="AZ25" s="23">
        <f>AZ15*30*6</f>
        <v>52603.200000000004</v>
      </c>
      <c r="BA25" s="23">
        <f>BA15*30*6</f>
        <v>52228.8</v>
      </c>
      <c r="BB25" s="23">
        <f>BB15*30*6</f>
        <v>51854.399999999994</v>
      </c>
      <c r="BC25" s="23">
        <f>BC15*30*6</f>
        <v>51480</v>
      </c>
      <c r="BD25" s="23">
        <f>BD15*30*6</f>
        <v>51105.600000000006</v>
      </c>
      <c r="BE25" s="23">
        <f>BE15*30*6</f>
        <v>50731.2</v>
      </c>
      <c r="BF25" s="23">
        <f>BF15*30*6</f>
        <v>50356.799999999996</v>
      </c>
      <c r="BG25" s="23">
        <f>BG15*30*6</f>
        <v>49982.399999999994</v>
      </c>
      <c r="BH25" s="23">
        <f>BH15*30*6</f>
        <v>49607.999999999985</v>
      </c>
      <c r="BI25" s="23">
        <f>BI15*30*6</f>
        <v>49233.59999999999</v>
      </c>
      <c r="BJ25" s="23">
        <f>BJ15*30*6</f>
        <v>48859.2</v>
      </c>
      <c r="BM25" s="78">
        <f>SUM(B25:BJ25)</f>
        <v>3812848.7199999997</v>
      </c>
    </row>
    <row r="28" spans="1:3" ht="12.75">
      <c r="A28" s="65" t="s">
        <v>179</v>
      </c>
      <c r="C28" s="37" t="s">
        <v>180</v>
      </c>
    </row>
    <row r="29" spans="2:72" ht="12.75">
      <c r="B29">
        <v>1</v>
      </c>
      <c r="C29" s="26">
        <f>B29*0.992</f>
        <v>0.992</v>
      </c>
      <c r="D29" s="79">
        <f>C29*0.992</f>
        <v>0.9840639999999999</v>
      </c>
      <c r="E29" s="79">
        <f>D29*0.992</f>
        <v>0.9761914879999999</v>
      </c>
      <c r="F29" s="79">
        <f>E29*0.992</f>
        <v>0.9683819560959999</v>
      </c>
      <c r="G29" s="79">
        <f>F29*0.992</f>
        <v>0.9606349004472319</v>
      </c>
      <c r="H29" s="79">
        <f>G29*0.992</f>
        <v>0.952949821243654</v>
      </c>
      <c r="I29" s="79">
        <f>H29*0.992</f>
        <v>0.9453262226737048</v>
      </c>
      <c r="J29" s="79">
        <f>I29*0.992</f>
        <v>0.9377636128923151</v>
      </c>
      <c r="K29" s="79">
        <f>J29*0.992</f>
        <v>0.9302615039891766</v>
      </c>
      <c r="L29" s="79">
        <f>K29*0.992</f>
        <v>0.9228194119572632</v>
      </c>
      <c r="M29" s="79">
        <f>L29*0.992</f>
        <v>0.9154368566616051</v>
      </c>
      <c r="N29" s="80">
        <f>M29*0.992</f>
        <v>0.9081133618083123</v>
      </c>
      <c r="O29" s="79">
        <f>N29*0.992</f>
        <v>0.9008484549138458</v>
      </c>
      <c r="P29" s="79">
        <f>O29*0.992</f>
        <v>0.893641667274535</v>
      </c>
      <c r="Q29" s="79">
        <f>P29*0.992</f>
        <v>0.8864925339363386</v>
      </c>
      <c r="R29" s="79">
        <f>Q29*0.992</f>
        <v>0.8794005936648479</v>
      </c>
      <c r="S29" s="79">
        <f>R29*0.992</f>
        <v>0.8723653889155292</v>
      </c>
      <c r="T29" s="79">
        <f>S29*0.992</f>
        <v>0.865386465804205</v>
      </c>
      <c r="U29" s="79">
        <f>T29*0.992</f>
        <v>0.8584633740777713</v>
      </c>
      <c r="V29" s="79">
        <f>U29*0.992</f>
        <v>0.8515956670851491</v>
      </c>
      <c r="W29" s="79">
        <f>V29*0.992</f>
        <v>0.8447829017484679</v>
      </c>
      <c r="X29" s="79">
        <f>W29*0.992</f>
        <v>0.8380246385344802</v>
      </c>
      <c r="Y29" s="79">
        <f>X29*0.992</f>
        <v>0.8313204414262043</v>
      </c>
      <c r="Z29" s="80">
        <f>Y29*0.992</f>
        <v>0.8246698778947946</v>
      </c>
      <c r="AA29" s="79">
        <f>Z29*0.992</f>
        <v>0.8180725188716362</v>
      </c>
      <c r="AB29" s="79">
        <f>AA29*0.992</f>
        <v>0.8115279387206631</v>
      </c>
      <c r="AC29" s="79">
        <f>AB29*0.992</f>
        <v>0.8050357152108978</v>
      </c>
      <c r="AD29" s="79">
        <f>AC29*0.992</f>
        <v>0.7985954294892106</v>
      </c>
      <c r="AE29" s="79">
        <f>AD29*0.992</f>
        <v>0.7922066660532969</v>
      </c>
      <c r="AF29" s="79">
        <f>AE29*0.992</f>
        <v>0.7858690127248705</v>
      </c>
      <c r="AG29" s="79">
        <f>AF29*0.992</f>
        <v>0.7795820606230716</v>
      </c>
      <c r="AH29" s="79">
        <f>AG29*0.992</f>
        <v>0.773345404138087</v>
      </c>
      <c r="AI29" s="79">
        <f>AH29*0.992</f>
        <v>0.7671586409049822</v>
      </c>
      <c r="AJ29" s="79">
        <f>AI29*0.992</f>
        <v>0.7610213717777423</v>
      </c>
      <c r="AK29" s="79">
        <f>AJ29*0.992</f>
        <v>0.7549332008035203</v>
      </c>
      <c r="AL29" s="80">
        <f>AK29*0.992</f>
        <v>0.7488937351970921</v>
      </c>
      <c r="AM29" s="79">
        <f>AL29*0.992</f>
        <v>0.7429025853155153</v>
      </c>
      <c r="AN29" s="79">
        <f>AM29*0.992</f>
        <v>0.7369593646329912</v>
      </c>
      <c r="AO29" s="79">
        <f>AN29*0.992</f>
        <v>0.7310636897159273</v>
      </c>
      <c r="AP29" s="79">
        <f>AO29*0.992</f>
        <v>0.7252151801981999</v>
      </c>
      <c r="AQ29" s="79">
        <f>AP29*0.992</f>
        <v>0.7194134587566142</v>
      </c>
      <c r="AR29" s="79">
        <f>AQ29*0.992</f>
        <v>0.7136581510865613</v>
      </c>
      <c r="AS29" s="79">
        <f>AR29*0.992</f>
        <v>0.7079488858778687</v>
      </c>
      <c r="AT29" s="79">
        <f>AS29*0.992</f>
        <v>0.7022852947908458</v>
      </c>
      <c r="AU29" s="79">
        <f>AT29*0.992</f>
        <v>0.696667012432519</v>
      </c>
      <c r="AV29" s="79">
        <f>AU29*0.992</f>
        <v>0.6910936763330588</v>
      </c>
      <c r="AW29" s="79">
        <f>AV29*0.992</f>
        <v>0.6855649269223943</v>
      </c>
      <c r="AX29" s="80">
        <f>AW29*0.992</f>
        <v>0.6800804075070151</v>
      </c>
      <c r="AY29" s="79">
        <f>AX29*0.992</f>
        <v>0.674639764246959</v>
      </c>
      <c r="AZ29" s="79">
        <f>AY29*0.992</f>
        <v>0.6692426461329833</v>
      </c>
      <c r="BA29" s="79">
        <f>AZ29*0.992</f>
        <v>0.6638887049639195</v>
      </c>
      <c r="BB29" s="79">
        <f>BA29*0.992</f>
        <v>0.6585775953242081</v>
      </c>
      <c r="BC29" s="79">
        <f>BB29*0.992</f>
        <v>0.6533089745616144</v>
      </c>
      <c r="BD29" s="79">
        <f>BC29*0.992</f>
        <v>0.6480825027651215</v>
      </c>
      <c r="BE29" s="79">
        <f>BD29*0.992</f>
        <v>0.6428978427430005</v>
      </c>
      <c r="BF29" s="79">
        <f>BE29*0.992</f>
        <v>0.6377546600010565</v>
      </c>
      <c r="BG29" s="79">
        <f>BF29*0.992</f>
        <v>0.632652622721048</v>
      </c>
      <c r="BH29" s="79">
        <f>BG29*0.992</f>
        <v>0.6275914017392796</v>
      </c>
      <c r="BI29" s="79">
        <f>BH29*0.992</f>
        <v>0.6225706705253654</v>
      </c>
      <c r="BJ29" s="79">
        <f>BI29*0.992</f>
        <v>0.6175901051611625</v>
      </c>
      <c r="BK29" s="79">
        <f>BJ29*0.992</f>
        <v>0.6126493843198733</v>
      </c>
      <c r="BL29" s="79">
        <f>BK29*0.992</f>
        <v>0.6077481892453143</v>
      </c>
      <c r="BM29" s="79">
        <f>BL29*0.992</f>
        <v>0.6028862037313517</v>
      </c>
      <c r="BN29" s="79">
        <f>BM29*0.992</f>
        <v>0.5980631141015009</v>
      </c>
      <c r="BO29" s="79">
        <f>BN29*0.992</f>
        <v>0.5932786091886889</v>
      </c>
      <c r="BP29" s="79">
        <f>BO29*0.992</f>
        <v>0.5885323803151794</v>
      </c>
      <c r="BQ29" s="79">
        <f>BP29*0.992</f>
        <v>0.5838241212726579</v>
      </c>
      <c r="BR29" s="79">
        <f>BQ29*0.992</f>
        <v>0.5791535283024767</v>
      </c>
      <c r="BS29" s="79">
        <f>BR29*$E29</f>
        <v>0.5653647445740447</v>
      </c>
      <c r="BT29" s="79">
        <f>BS29*$E29</f>
        <v>0.5519042512684766</v>
      </c>
    </row>
    <row r="31" spans="1:66" ht="12.75">
      <c r="A31" s="65" t="s">
        <v>181</v>
      </c>
      <c r="C31" t="s">
        <v>182</v>
      </c>
      <c r="E31" s="37" t="s">
        <v>183</v>
      </c>
      <c r="BM31" t="s">
        <v>184</v>
      </c>
      <c r="BN31" t="s">
        <v>185</v>
      </c>
    </row>
    <row r="32" spans="1:66" ht="12.75">
      <c r="A32" s="62" t="s">
        <v>173</v>
      </c>
      <c r="B32" s="26">
        <f>B20*B$29</f>
        <v>-1100000</v>
      </c>
      <c r="C32" s="26">
        <f>B32+(C20*C$29)</f>
        <v>-980960</v>
      </c>
      <c r="D32" s="23">
        <f>C32+(D20*D$29)</f>
        <v>-877042.8416</v>
      </c>
      <c r="E32" s="23">
        <f>D32+(E20*E$29)</f>
        <v>-783328.458752</v>
      </c>
      <c r="F32" s="23">
        <f>E32+(F20*F$29)</f>
        <v>-697057.2470473195</v>
      </c>
      <c r="G32" s="23">
        <f>F32+(G20*G$29)</f>
        <v>-616732.7992115238</v>
      </c>
      <c r="H32" s="23">
        <f>G32+(H20*H$29)</f>
        <v>-541899.5556489022</v>
      </c>
      <c r="I32" s="23">
        <f>H32+(I20*I$29)</f>
        <v>-471930.28995148523</v>
      </c>
      <c r="J32" s="23">
        <f>I32+(J20*J$29)</f>
        <v>-406481.8918805048</v>
      </c>
      <c r="K32" s="23">
        <f>J32+(K20*K$29)</f>
        <v>-345218.59027379355</v>
      </c>
      <c r="L32" s="23">
        <f>K32+(L20*L$29)</f>
        <v>-287811.8402947561</v>
      </c>
      <c r="M32" s="23">
        <f>L32+(M20*M$29)</f>
        <v>-233940.21215393397</v>
      </c>
      <c r="N32" s="39">
        <f>M32+(N20*N$29)</f>
        <v>-183376.46016844714</v>
      </c>
      <c r="O32" s="23">
        <f>N32+(O20*O$29)</f>
        <v>-135811.6617489961</v>
      </c>
      <c r="P32" s="23">
        <f>O32+(P20*P$29)</f>
        <v>-90943.70091847624</v>
      </c>
      <c r="Q32" s="81">
        <f>P32+(Q20*Q$29)</f>
        <v>-48562.265856047765</v>
      </c>
      <c r="R32" s="23">
        <f>Q32+(R20*R$29)</f>
        <v>-8461.598784930698</v>
      </c>
      <c r="S32" s="23">
        <f>R32+(S20*S$29)</f>
        <v>29643.321402899615</v>
      </c>
      <c r="T32" s="23">
        <f>S32+(T20*T$29)</f>
        <v>65948.01441631763</v>
      </c>
      <c r="U32" s="23">
        <f>T32+(U20*U$29)</f>
        <v>100726.08262695631</v>
      </c>
      <c r="V32" s="23">
        <f>U32+(V20*V$29)</f>
        <v>134163.1348993876</v>
      </c>
      <c r="W32" s="23">
        <f>V32+(W20*W$29)</f>
        <v>166440.60000939306</v>
      </c>
      <c r="X32" s="23">
        <f>W32+(X20*X$29)</f>
        <v>197735.7921108247</v>
      </c>
      <c r="Y32" s="23">
        <f>X32+(Y20*Y$29)</f>
        <v>228142.16857642954</v>
      </c>
      <c r="Z32" s="39">
        <f>Y32+(Z20*Z$29)</f>
        <v>257751.11587236426</v>
      </c>
      <c r="AA32" s="23">
        <f>Z32+(AA20*AA$29)</f>
        <v>286561.666612978</v>
      </c>
      <c r="AB32" s="23">
        <f>AA32+(AB20*AB$29)</f>
        <v>314685.97885728127</v>
      </c>
      <c r="AC32" s="23">
        <f>AB32+(AC20*AC$29)</f>
        <v>342121.59603166865</v>
      </c>
      <c r="AD32" s="23">
        <f>AC32+(AD20*AD$29)</f>
        <v>368954.40246250614</v>
      </c>
      <c r="AE32" s="23">
        <f>AD32+(AE20*AE$29)</f>
        <v>395192.2872421913</v>
      </c>
      <c r="AF32" s="23">
        <f>AE32+(AF20*AF$29)</f>
        <v>420843.0518175311</v>
      </c>
      <c r="AG32" s="23">
        <f>AF32+(AG20*AG$29)</f>
        <v>445989.2507649889</v>
      </c>
      <c r="AH32" s="23">
        <f>AG32+(AH20*AH$29)</f>
        <v>470637.315485678</v>
      </c>
      <c r="AI32" s="23">
        <f>AH32+(AI20*AI$29)</f>
        <v>494793.6067704941</v>
      </c>
      <c r="AJ32" s="23">
        <f>AI32+(AJ20*AJ$29)</f>
        <v>518537.47356995963</v>
      </c>
      <c r="AK32" s="23">
        <f>AJ32+(AK20*AK$29)</f>
        <v>541873.968673198</v>
      </c>
      <c r="AL32" s="39">
        <f>AK32+(AL20*AL$29)</f>
        <v>564808.0904198737</v>
      </c>
      <c r="AM32" s="23">
        <f>AL32+(AM20*AM$29)</f>
        <v>587344.7832480052</v>
      </c>
      <c r="AN32" s="23">
        <f>AM32+(AN20*AN$29)</f>
        <v>609488.9382364973</v>
      </c>
      <c r="AO32" s="23">
        <f>AN32+(AO20*AO$29)</f>
        <v>631245.3936424433</v>
      </c>
      <c r="AP32" s="23">
        <f>AO32+(AP20*AP$29)</f>
        <v>652618.9354332447</v>
      </c>
      <c r="AQ32" s="23">
        <f>AP32+(AQ20*AQ$29)</f>
        <v>673614.2978135977</v>
      </c>
      <c r="AR32" s="23">
        <f>AQ32+(AR20*AR$29)</f>
        <v>694236.163747395</v>
      </c>
      <c r="AS32" s="23">
        <f>AR32+(AS20*AS$29)</f>
        <v>714489.1654745891</v>
      </c>
      <c r="AT32" s="23">
        <f>AS32+(AT20*AT$29)</f>
        <v>734377.8850230658</v>
      </c>
      <c r="AU32" s="23">
        <f>AT32+(AU20*AU$29)</f>
        <v>753906.8547155742</v>
      </c>
      <c r="AV32" s="23">
        <f>AU32+(AV20*AV$29)</f>
        <v>773080.5576717586</v>
      </c>
      <c r="AW32" s="23">
        <f>AV32+(AW20*AW$29)</f>
        <v>791969.2425383244</v>
      </c>
      <c r="AX32" s="39">
        <f>AW32+(AX20*AX$29)</f>
        <v>810576.2424877164</v>
      </c>
      <c r="AY32" s="23">
        <f>AX32+(AY20*AY$29)</f>
        <v>828904.8556027778</v>
      </c>
      <c r="AZ32" s="23">
        <f>AY32+(AZ20*AZ$29)</f>
        <v>846958.3452248612</v>
      </c>
      <c r="BA32" s="23">
        <f>AZ32+(BA20*BA$29)</f>
        <v>864739.9402986148</v>
      </c>
      <c r="BB32" s="23">
        <f>BA32+(BB20*BB$29)</f>
        <v>882252.8357134762</v>
      </c>
      <c r="BC32" s="23">
        <f>BB32+(BC20*BC$29)</f>
        <v>899500.1926419028</v>
      </c>
      <c r="BD32" s="23">
        <f>BC32+(BD20*BD$29)</f>
        <v>916485.1388743712</v>
      </c>
      <c r="BE32" s="23">
        <f>BD32+(BE20*BE$29)</f>
        <v>933210.7691511731</v>
      </c>
      <c r="BF32" s="23">
        <f>BE32+(BF20*BF$29)</f>
        <v>949680.1454910403</v>
      </c>
      <c r="BG32" s="23">
        <f>BF32+(BG20*BG$29)</f>
        <v>965896.2975166262</v>
      </c>
      <c r="BH32" s="23">
        <f>BG32+(BH20*BH$29)</f>
        <v>981862.2227768735</v>
      </c>
      <c r="BI32" s="23">
        <f>BH32+(BI20*BI$29)</f>
        <v>997580.8870662979</v>
      </c>
      <c r="BJ32" s="82">
        <f>BI32+(BJ20*BJ$29)</f>
        <v>1013055.224741216</v>
      </c>
      <c r="BM32" s="83">
        <v>424198</v>
      </c>
      <c r="BN32" s="78">
        <f>BJ32-BM32</f>
        <v>588857.224741216</v>
      </c>
    </row>
    <row r="33" spans="1:66" ht="12.75">
      <c r="A33" s="62" t="s">
        <v>174</v>
      </c>
      <c r="B33" s="26">
        <f>B21*B$29</f>
        <v>-1100000</v>
      </c>
      <c r="C33" s="26">
        <f>B33+(C21*C$29)</f>
        <v>-951200</v>
      </c>
      <c r="D33" s="23">
        <f>C33+(D21*D$29)</f>
        <v>-821303.552</v>
      </c>
      <c r="E33" s="23">
        <f>D33+(E21*E$29)</f>
        <v>-704160.5734400001</v>
      </c>
      <c r="F33" s="23">
        <f>E33+(F21*F$29)</f>
        <v>-596321.5588091495</v>
      </c>
      <c r="G33" s="23">
        <f>F33+(G21*G$29)</f>
        <v>-495915.99901440484</v>
      </c>
      <c r="H33" s="23">
        <f>G33+(H21*H$29)</f>
        <v>-402374.44456112775</v>
      </c>
      <c r="I33" s="23">
        <f>H33+(I21*I$29)</f>
        <v>-314912.86243935657</v>
      </c>
      <c r="J33" s="23">
        <f>I33+(J21*J$29)</f>
        <v>-233102.36485063098</v>
      </c>
      <c r="K33" s="23">
        <f>J33+(K21*K$29)</f>
        <v>-156523.23784224197</v>
      </c>
      <c r="L33" s="23">
        <f>K33+(L21*L$29)</f>
        <v>-84764.80036844518</v>
      </c>
      <c r="M33" s="81">
        <f>L33+(M21*M$29)</f>
        <v>-17425.265192417515</v>
      </c>
      <c r="N33" s="39">
        <f>M33+(N21*N$29)</f>
        <v>45779.424789441015</v>
      </c>
      <c r="O33" s="23">
        <f>N33+(O21*O$29)</f>
        <v>105235.42281375483</v>
      </c>
      <c r="P33" s="23">
        <f>O33+(P21*P$29)</f>
        <v>161320.37385190465</v>
      </c>
      <c r="Q33" s="23">
        <f>P33+(Q21*Q$29)</f>
        <v>214297.16767994023</v>
      </c>
      <c r="R33" s="23">
        <f>Q33+(R21*R$29)</f>
        <v>264423.0015188366</v>
      </c>
      <c r="S33" s="23">
        <f>R33+(S21*S$29)</f>
        <v>312054.1517536245</v>
      </c>
      <c r="T33" s="23">
        <f>S33+(T21*T$29)</f>
        <v>357435.018020397</v>
      </c>
      <c r="U33" s="23">
        <f>T33+(U21*U$29)</f>
        <v>400907.60328369535</v>
      </c>
      <c r="V33" s="23">
        <f>U33+(V21*V$29)</f>
        <v>442703.9186242345</v>
      </c>
      <c r="W33" s="23">
        <f>V33+(W21*W$29)</f>
        <v>483050.75001174136</v>
      </c>
      <c r="X33" s="23">
        <f>W33+(X21*X$29)</f>
        <v>522169.7401385309</v>
      </c>
      <c r="Y33" s="23">
        <f>X33+(Y21*Y$29)</f>
        <v>560177.710720537</v>
      </c>
      <c r="Z33" s="39">
        <f>Y33+(Z21*Z$29)</f>
        <v>597188.8948404554</v>
      </c>
      <c r="AA33" s="23">
        <f>Z33+(AA21*AA$29)</f>
        <v>633202.0832662226</v>
      </c>
      <c r="AB33" s="23">
        <f>AA33+(AB21*AB$29)</f>
        <v>668357.4735716018</v>
      </c>
      <c r="AC33" s="23">
        <f>AB33+(AC21*AC$29)</f>
        <v>702651.995039586</v>
      </c>
      <c r="AD33" s="23">
        <f>AC33+(AD21*AD$29)</f>
        <v>736193.0030781329</v>
      </c>
      <c r="AE33" s="23">
        <f>AD33+(AE21*AE$29)</f>
        <v>768990.3590527393</v>
      </c>
      <c r="AF33" s="23">
        <f>AE33+(AF21*AF$29)</f>
        <v>801053.814771914</v>
      </c>
      <c r="AG33" s="23">
        <f>AF33+(AG21*AG$29)</f>
        <v>832486.5634562363</v>
      </c>
      <c r="AH33" s="23">
        <f>AG33+(AH21*AH$29)</f>
        <v>863296.6443570977</v>
      </c>
      <c r="AI33" s="23">
        <f>AH33+(AI21*AI$29)</f>
        <v>893492.0084631178</v>
      </c>
      <c r="AJ33" s="23">
        <f>AI33+(AJ21*AJ$29)</f>
        <v>923171.8419624497</v>
      </c>
      <c r="AK33" s="23">
        <f>AJ33+(AK21*AK$29)</f>
        <v>952342.4608414978</v>
      </c>
      <c r="AL33" s="39">
        <f>AK33+(AL21*AL$29)</f>
        <v>981010.1130248425</v>
      </c>
      <c r="AM33" s="23">
        <f>AL33+(AM21*AM$29)</f>
        <v>1009180.9790600068</v>
      </c>
      <c r="AN33" s="23">
        <f>AM33+(AN21*AN$29)</f>
        <v>1036861.1727956219</v>
      </c>
      <c r="AO33" s="23">
        <f>AN33+(AO21*AO$29)</f>
        <v>1064056.7420530545</v>
      </c>
      <c r="AP33" s="23">
        <f>AO33+(AP21*AP$29)</f>
        <v>1090773.669291556</v>
      </c>
      <c r="AQ33" s="23">
        <f>AP33+(AQ21*AQ$29)</f>
        <v>1117017.8722669974</v>
      </c>
      <c r="AR33" s="23">
        <f>AQ33+(AR21*AR$29)</f>
        <v>1142795.204684244</v>
      </c>
      <c r="AS33" s="23">
        <f>AR33+(AS21*AS$29)</f>
        <v>1168111.4568432367</v>
      </c>
      <c r="AT33" s="23">
        <f>AS33+(AT21*AT$29)</f>
        <v>1192972.3562788325</v>
      </c>
      <c r="AU33" s="23">
        <f>AT33+(AU21*AU$29)</f>
        <v>1217383.568394468</v>
      </c>
      <c r="AV33" s="23">
        <f>AU33+(AV21*AV$29)</f>
        <v>1241350.6970896984</v>
      </c>
      <c r="AW33" s="23">
        <f>AV33+(AW21*AW$29)</f>
        <v>1264961.5531729057</v>
      </c>
      <c r="AX33" s="39">
        <f>AW33+(AX21*AX$29)</f>
        <v>1288220.3031096456</v>
      </c>
      <c r="AY33" s="23">
        <f>AX33+(AY21*AY$29)</f>
        <v>1311131.0695034724</v>
      </c>
      <c r="AZ33" s="23">
        <f>AY33+(AZ21*AZ$29)</f>
        <v>1333697.9315310766</v>
      </c>
      <c r="BA33" s="23">
        <f>AZ33+(BA21*BA$29)</f>
        <v>1355924.9253732685</v>
      </c>
      <c r="BB33" s="23">
        <f>BA33+(BB21*BB$29)</f>
        <v>1377816.0446418452</v>
      </c>
      <c r="BC33" s="23">
        <f>BB33+(BC21*BC$29)</f>
        <v>1399375.2408023784</v>
      </c>
      <c r="BD33" s="23">
        <f>BC33+(BD21*BD$29)</f>
        <v>1420606.4235929637</v>
      </c>
      <c r="BE33" s="23">
        <f>BD33+(BE21*BE$29)</f>
        <v>1441513.461438966</v>
      </c>
      <c r="BF33" s="23">
        <f>BE33+(BF21*BF$29)</f>
        <v>1462100.1818638002</v>
      </c>
      <c r="BG33" s="23">
        <f>BF33+(BG21*BG$29)</f>
        <v>1482370.3718957826</v>
      </c>
      <c r="BH33" s="23">
        <f>BG33+(BH21*BH$29)</f>
        <v>1502327.7784710918</v>
      </c>
      <c r="BI33" s="23">
        <f>BH33+(BI21*BI$29)</f>
        <v>1521976.1088328722</v>
      </c>
      <c r="BJ33" s="82">
        <f>BI33+(BJ21*BJ$29)</f>
        <v>1541319.0309265198</v>
      </c>
      <c r="BM33" s="83">
        <v>847740</v>
      </c>
      <c r="BN33" s="78">
        <f>BJ33-BM33</f>
        <v>693579.0309265198</v>
      </c>
    </row>
    <row r="34" spans="1:66" ht="12.75">
      <c r="A34" s="62" t="s">
        <v>175</v>
      </c>
      <c r="B34" s="26">
        <f>B22*B$29</f>
        <v>-1100000</v>
      </c>
      <c r="C34" s="26">
        <f>B34+(C22*C$29)</f>
        <v>-921440</v>
      </c>
      <c r="D34" s="23">
        <f>C34+(D22*D$29)</f>
        <v>-765564.2624</v>
      </c>
      <c r="E34" s="23">
        <f>D34+(E22*E$29)</f>
        <v>-624992.688128</v>
      </c>
      <c r="F34" s="23">
        <f>E34+(F22*F$29)</f>
        <v>-495585.8705709794</v>
      </c>
      <c r="G34" s="23">
        <f>F34+(G22*G$29)</f>
        <v>-375099.19881728577</v>
      </c>
      <c r="H34" s="23">
        <f>G34+(H22*H$29)</f>
        <v>-262849.3334733533</v>
      </c>
      <c r="I34" s="23">
        <f>H34+(I22*I$29)</f>
        <v>-157895.43492722785</v>
      </c>
      <c r="J34" s="81">
        <f>I34+(J22*J$29)</f>
        <v>-59722.837820757166</v>
      </c>
      <c r="K34" s="23">
        <f>J34+(K22*K$29)</f>
        <v>32172.114589309655</v>
      </c>
      <c r="L34" s="23">
        <f>K34+(L22*L$29)</f>
        <v>118282.2395578658</v>
      </c>
      <c r="M34" s="23">
        <f>L34+(M22*M$29)</f>
        <v>199089.68176909903</v>
      </c>
      <c r="N34" s="39">
        <f>M34+(N22*N$29)</f>
        <v>274935.3097473293</v>
      </c>
      <c r="O34" s="23">
        <f>N34+(O22*O$29)</f>
        <v>346282.5073765059</v>
      </c>
      <c r="P34" s="23">
        <f>O34+(P22*P$29)</f>
        <v>413584.4486222856</v>
      </c>
      <c r="Q34" s="23">
        <f>P34+(Q22*Q$29)</f>
        <v>477156.6012159283</v>
      </c>
      <c r="R34" s="23">
        <f>Q34+(R22*R$29)</f>
        <v>537307.601822604</v>
      </c>
      <c r="S34" s="23">
        <f>R34+(S22*S$29)</f>
        <v>594464.9821043494</v>
      </c>
      <c r="T34" s="23">
        <f>S34+(T22*T$29)</f>
        <v>648922.0216244764</v>
      </c>
      <c r="U34" s="23">
        <f>T34+(U22*U$29)</f>
        <v>701089.1239404344</v>
      </c>
      <c r="V34" s="23">
        <f>U34+(V22*V$29)</f>
        <v>751244.7023490814</v>
      </c>
      <c r="W34" s="23">
        <f>V34+(W22*W$29)</f>
        <v>799660.9000140897</v>
      </c>
      <c r="X34" s="23">
        <f>W34+(X22*X$29)</f>
        <v>846603.6881662371</v>
      </c>
      <c r="Y34" s="23">
        <f>X34+(Y22*Y$29)</f>
        <v>892213.2528646444</v>
      </c>
      <c r="Z34" s="39">
        <f>Y34+(Z22*Z$29)</f>
        <v>936626.6738085465</v>
      </c>
      <c r="AA34" s="23">
        <f>Z34+(AA22*AA$29)</f>
        <v>979842.4999194671</v>
      </c>
      <c r="AB34" s="23">
        <f>AA34+(AB22*AB$29)</f>
        <v>1022028.9682859221</v>
      </c>
      <c r="AC34" s="23">
        <f>AB34+(AC22*AC$29)</f>
        <v>1063182.3940475031</v>
      </c>
      <c r="AD34" s="23">
        <f>AC34+(AD22*AD$29)</f>
        <v>1103431.6036937593</v>
      </c>
      <c r="AE34" s="23">
        <f>AD34+(AE22*AE$29)</f>
        <v>1142788.430863287</v>
      </c>
      <c r="AF34" s="23">
        <f>AE34+(AF22*AF$29)</f>
        <v>1181264.5777262966</v>
      </c>
      <c r="AG34" s="23">
        <f>AF34+(AG22*AG$29)</f>
        <v>1218983.8761474832</v>
      </c>
      <c r="AH34" s="23">
        <f>AG34+(AH22*AH$29)</f>
        <v>1255955.973228517</v>
      </c>
      <c r="AI34" s="23">
        <f>AH34+(AI22*AI$29)</f>
        <v>1292190.410155741</v>
      </c>
      <c r="AJ34" s="23">
        <f>AI34+(AJ22*AJ$29)</f>
        <v>1327806.2103549393</v>
      </c>
      <c r="AK34" s="23">
        <f>AJ34+(AK22*AK$29)</f>
        <v>1362810.953009797</v>
      </c>
      <c r="AL34" s="39">
        <f>AK34+(AL22*AL$29)</f>
        <v>1397212.1356298106</v>
      </c>
      <c r="AM34" s="23">
        <f>AL34+(AM22*AM$29)</f>
        <v>1431017.174872008</v>
      </c>
      <c r="AN34" s="23">
        <f>AM34+(AN22*AN$29)</f>
        <v>1464233.407354746</v>
      </c>
      <c r="AO34" s="23">
        <f>AN34+(AO22*AO$29)</f>
        <v>1496868.090463665</v>
      </c>
      <c r="AP34" s="23">
        <f>AO34+(AP22*AP$29)</f>
        <v>1528928.4031498672</v>
      </c>
      <c r="AQ34" s="23">
        <f>AP34+(AQ22*AQ$29)</f>
        <v>1560421.4467203966</v>
      </c>
      <c r="AR34" s="23">
        <f>AQ34+(AR22*AR$29)</f>
        <v>1591354.2456210926</v>
      </c>
      <c r="AS34" s="23">
        <f>AR34+(AS22*AS$29)</f>
        <v>1621733.7482118837</v>
      </c>
      <c r="AT34" s="23">
        <f>AS34+(AT22*AT$29)</f>
        <v>1651566.8275345988</v>
      </c>
      <c r="AU34" s="23">
        <f>AT34+(AU22*AU$29)</f>
        <v>1680860.2820733613</v>
      </c>
      <c r="AV34" s="23">
        <f>AU34+(AV22*AV$29)</f>
        <v>1709620.836507638</v>
      </c>
      <c r="AW34" s="23">
        <f>AV34+(AW22*AW$29)</f>
        <v>1737953.8638074866</v>
      </c>
      <c r="AX34" s="39">
        <f>AW34+(AX22*AX$29)</f>
        <v>1765864.3637315745</v>
      </c>
      <c r="AY34" s="23">
        <f>AX34+(AY22*AY$29)</f>
        <v>1793357.2834041666</v>
      </c>
      <c r="AZ34" s="23">
        <f>AY34+(AZ22*AZ$29)</f>
        <v>1820437.5178372916</v>
      </c>
      <c r="BA34" s="23">
        <f>AZ34+(BA22*BA$29)</f>
        <v>1847109.910447922</v>
      </c>
      <c r="BB34" s="23">
        <f>BA34+(BB22*BB$29)</f>
        <v>1873379.2535702141</v>
      </c>
      <c r="BC34" s="23">
        <f>BB34+(BC22*BC$29)</f>
        <v>1899250.288962854</v>
      </c>
      <c r="BD34" s="23">
        <f>BC34+(BD22*BD$29)</f>
        <v>1924727.7083115566</v>
      </c>
      <c r="BE34" s="23">
        <f>BD34+(BE22*BE$29)</f>
        <v>1949816.1537267594</v>
      </c>
      <c r="BF34" s="23">
        <f>BE34+(BF22*BF$29)</f>
        <v>1974520.2182365602</v>
      </c>
      <c r="BG34" s="23">
        <f>BF34+(BG22*BG$29)</f>
        <v>1998844.446274939</v>
      </c>
      <c r="BH34" s="23">
        <f>BG34+(BH22*BH$29)</f>
        <v>2022793.33416531</v>
      </c>
      <c r="BI34" s="23">
        <f>BH34+(BI22*BI$29)</f>
        <v>2046371.3305994465</v>
      </c>
      <c r="BJ34" s="82">
        <f>BI34+(BJ22*BJ$29)</f>
        <v>2069582.8371118237</v>
      </c>
      <c r="BM34" s="83">
        <v>1271799</v>
      </c>
      <c r="BN34" s="78">
        <f>BJ34-BM34</f>
        <v>797783.8371118237</v>
      </c>
    </row>
    <row r="35" spans="1:66" ht="12.75">
      <c r="A35" s="62" t="s">
        <v>176</v>
      </c>
      <c r="B35" s="26">
        <f>B23*B$29</f>
        <v>-1100000</v>
      </c>
      <c r="C35" s="26">
        <f>B35+(C23*C$29)</f>
        <v>-945248</v>
      </c>
      <c r="D35" s="23">
        <f>C35+(D23*D$29)</f>
        <v>-810155.69408</v>
      </c>
      <c r="E35" s="23">
        <f>D35+(E23*E$29)</f>
        <v>-688326.9963776001</v>
      </c>
      <c r="F35" s="23">
        <f>E35+(F23*F$29)</f>
        <v>-576174.4211615155</v>
      </c>
      <c r="G35" s="23">
        <f>F35+(G23*G$29)</f>
        <v>-471752.6389749811</v>
      </c>
      <c r="H35" s="23">
        <f>G35+(H23*H$29)</f>
        <v>-374469.42234357295</v>
      </c>
      <c r="I35" s="23">
        <f>H35+(I23*I$29)</f>
        <v>-283509.37693693093</v>
      </c>
      <c r="J35" s="23">
        <f>I35+(J23*J$29)</f>
        <v>-198426.45944465633</v>
      </c>
      <c r="K35" s="23">
        <f>J35+(K23*K$29)</f>
        <v>-118784.16735593176</v>
      </c>
      <c r="L35" s="81">
        <f>K35+(L23*L$29)</f>
        <v>-44155.392383183105</v>
      </c>
      <c r="M35" s="23">
        <f>L35+(M23*M$29)</f>
        <v>25877.724199885663</v>
      </c>
      <c r="N35" s="39">
        <f>M35+(N23*N$29)</f>
        <v>91610.60178101854</v>
      </c>
      <c r="O35" s="23">
        <f>N35+(O23*O$29)</f>
        <v>153444.83972630493</v>
      </c>
      <c r="P35" s="23">
        <f>O35+(P23*P$29)</f>
        <v>211773.18880598072</v>
      </c>
      <c r="Q35" s="23">
        <f>P35+(Q23*Q$29)</f>
        <v>266869.05438713776</v>
      </c>
      <c r="R35" s="23">
        <f>Q35+(R23*R$29)</f>
        <v>318999.92157958995</v>
      </c>
      <c r="S35" s="23">
        <f>R35+(S23*S$29)</f>
        <v>368536.31782376935</v>
      </c>
      <c r="T35" s="23">
        <f>S35+(T23*T$29)</f>
        <v>415732.41874121275</v>
      </c>
      <c r="U35" s="23">
        <f>T35+(U23*U$29)</f>
        <v>460943.90741504304</v>
      </c>
      <c r="V35" s="23">
        <f>U35+(V23*V$29)</f>
        <v>504412.0753692037</v>
      </c>
      <c r="W35" s="23">
        <f>V35+(W23*W$29)</f>
        <v>546372.7800122108</v>
      </c>
      <c r="X35" s="23">
        <f>W35+(X23*X$29)</f>
        <v>587056.5297440719</v>
      </c>
      <c r="Y35" s="23">
        <f>X35+(Y23*Y$29)</f>
        <v>626584.8191493582</v>
      </c>
      <c r="Z35" s="39">
        <f>Y35+(Z23*Z$29)</f>
        <v>665076.4506340733</v>
      </c>
      <c r="AA35" s="23">
        <f>Z35+(AA23*AA$29)</f>
        <v>702530.1665968712</v>
      </c>
      <c r="AB35" s="23">
        <f>AA35+(AB23*AB$29)</f>
        <v>739091.7725144655</v>
      </c>
      <c r="AC35" s="23">
        <f>AB35+(AC23*AC$29)</f>
        <v>774758.0748411692</v>
      </c>
      <c r="AD35" s="23">
        <f>AC35+(AD23*AD$29)</f>
        <v>809640.7232012579</v>
      </c>
      <c r="AE35" s="23">
        <f>AD35+(AE23*AE$29)</f>
        <v>843749.9734148487</v>
      </c>
      <c r="AF35" s="23">
        <f>AE35+(AF23*AF$29)</f>
        <v>877095.9673627904</v>
      </c>
      <c r="AG35" s="23">
        <f>AF35+(AG23*AG$29)</f>
        <v>909786.0259944855</v>
      </c>
      <c r="AH35" s="23">
        <f>AG35+(AH23*AH$29)</f>
        <v>941828.5101313813</v>
      </c>
      <c r="AI35" s="23">
        <f>AH35+(AI23*AI$29)</f>
        <v>973231.6888016423</v>
      </c>
      <c r="AJ35" s="23">
        <f>AI35+(AJ23*AJ$29)</f>
        <v>1004098.7156409475</v>
      </c>
      <c r="AK35" s="23">
        <f>AJ35+(AK23*AK$29)</f>
        <v>1034436.1592751574</v>
      </c>
      <c r="AL35" s="39">
        <f>AK35+(AL23*AL$29)</f>
        <v>1064250.5175458358</v>
      </c>
      <c r="AM35" s="23">
        <f>AL35+(AM23*AM$29)</f>
        <v>1093548.2182224067</v>
      </c>
      <c r="AN35" s="23">
        <f>AM35+(AN23*AN$29)</f>
        <v>1122335.6197074465</v>
      </c>
      <c r="AO35" s="23">
        <f>AN35+(AO23*AO$29)</f>
        <v>1150619.0117351764</v>
      </c>
      <c r="AP35" s="23">
        <f>AO35+(AP23*AP$29)</f>
        <v>1178404.616063218</v>
      </c>
      <c r="AQ35" s="23">
        <f>AP35+(AQ23*AQ$29)</f>
        <v>1205698.587157677</v>
      </c>
      <c r="AR35" s="23">
        <f>AQ35+(AR23*AR$29)</f>
        <v>1232507.0128716135</v>
      </c>
      <c r="AS35" s="23">
        <f>AR35+(AS23*AS$29)</f>
        <v>1258835.9151169658</v>
      </c>
      <c r="AT35" s="23">
        <f>AS35+(AT23*AT$29)</f>
        <v>1284691.2505299856</v>
      </c>
      <c r="AU35" s="23">
        <f>AT35+(AU23*AU$29)</f>
        <v>1310078.9111302465</v>
      </c>
      <c r="AV35" s="23">
        <f>AU35+(AV23*AV$29)</f>
        <v>1335004.7249732863</v>
      </c>
      <c r="AW35" s="23">
        <f>AV35+(AW23*AW$29)</f>
        <v>1359560.0152998217</v>
      </c>
      <c r="AX35" s="39">
        <f>AW35+(AX23*AX$29)</f>
        <v>1383749.1152340313</v>
      </c>
      <c r="AY35" s="23">
        <f>AX35+(AY23*AY$29)</f>
        <v>1407576.3122836112</v>
      </c>
      <c r="AZ35" s="23">
        <f>AY35+(AZ23*AZ$29)</f>
        <v>1431045.8487923194</v>
      </c>
      <c r="BA35" s="23">
        <f>AZ35+(BA23*BA$29)</f>
        <v>1454161.922388199</v>
      </c>
      <c r="BB35" s="23">
        <f>BA35+(BB23*BB$29)</f>
        <v>1476928.6864275187</v>
      </c>
      <c r="BC35" s="23">
        <f>BB35+(BC23*BC$29)</f>
        <v>1499350.2504344734</v>
      </c>
      <c r="BD35" s="23">
        <f>BC35+(BD23*BD$29)</f>
        <v>1521430.6805366823</v>
      </c>
      <c r="BE35" s="23">
        <f>BD35+(BE23*BE$29)</f>
        <v>1543173.9998965247</v>
      </c>
      <c r="BF35" s="23">
        <f>BE35+(BF23*BF$29)</f>
        <v>1564584.1891383522</v>
      </c>
      <c r="BG35" s="23">
        <f>BF35+(BG23*BG$29)</f>
        <v>1585665.1867716138</v>
      </c>
      <c r="BH35" s="23">
        <f>BG35+(BH23*BH$29)</f>
        <v>1606420.8896099352</v>
      </c>
      <c r="BI35" s="23">
        <f>BH35+(BI23*BI$29)</f>
        <v>1626855.153186187</v>
      </c>
      <c r="BJ35" s="82">
        <f>BI35+(BJ23*BJ$29)</f>
        <v>1646971.7921635804</v>
      </c>
      <c r="BM35" s="83">
        <v>903314</v>
      </c>
      <c r="BN35" s="78">
        <f>BJ35-BM35</f>
        <v>743657.7921635804</v>
      </c>
    </row>
    <row r="36" spans="1:66" ht="12.75">
      <c r="A36" s="62" t="s">
        <v>177</v>
      </c>
      <c r="B36" s="26">
        <f>B24*B$29</f>
        <v>-1100000</v>
      </c>
      <c r="C36" s="26">
        <f>B36+(C24*C$29)</f>
        <v>-906560</v>
      </c>
      <c r="D36" s="23">
        <f>C36+(D24*D$29)</f>
        <v>-737694.6176</v>
      </c>
      <c r="E36" s="23">
        <f>D36+(E24*E$29)</f>
        <v>-585408.745472</v>
      </c>
      <c r="F36" s="23">
        <f>E36+(F24*F$29)</f>
        <v>-445218.0264518943</v>
      </c>
      <c r="G36" s="23">
        <f>F36+(G24*G$29)</f>
        <v>-314690.79871872626</v>
      </c>
      <c r="H36" s="23">
        <f>G36+(H24*H$29)</f>
        <v>-193086.77792946604</v>
      </c>
      <c r="I36" s="23">
        <f>H36+(I24*I$29)</f>
        <v>-79386.72117116352</v>
      </c>
      <c r="J36" s="81">
        <f>I36+(J24*J$29)</f>
        <v>26966.92569417972</v>
      </c>
      <c r="K36" s="23">
        <f>J36+(K24*K$29)</f>
        <v>126519.79080508543</v>
      </c>
      <c r="L36" s="23">
        <f>K36+(L24*L$29)</f>
        <v>219805.75952102127</v>
      </c>
      <c r="M36" s="23">
        <f>L36+(M24*M$29)</f>
        <v>307347.1552498572</v>
      </c>
      <c r="N36" s="39">
        <f>M36+(N24*N$29)</f>
        <v>389513.2522262733</v>
      </c>
      <c r="O36" s="23">
        <f>N36+(O24*O$29)</f>
        <v>466806.04965788126</v>
      </c>
      <c r="P36" s="23">
        <f>O36+(P24*P$29)</f>
        <v>539716.486007476</v>
      </c>
      <c r="Q36" s="23">
        <f>P36+(Q24*Q$29)</f>
        <v>608586.3179839223</v>
      </c>
      <c r="R36" s="23">
        <f>Q36+(R24*R$29)</f>
        <v>673749.9019744876</v>
      </c>
      <c r="S36" s="23">
        <f>R36+(S24*S$29)</f>
        <v>735670.3972797119</v>
      </c>
      <c r="T36" s="23">
        <f>S36+(T24*T$29)</f>
        <v>794665.5234265162</v>
      </c>
      <c r="U36" s="23">
        <f>T36+(U24*U$29)</f>
        <v>851179.8842688041</v>
      </c>
      <c r="V36" s="23">
        <f>U36+(V24*V$29)</f>
        <v>905515.0942115049</v>
      </c>
      <c r="W36" s="23">
        <f>V36+(W24*W$29)</f>
        <v>957965.9750152638</v>
      </c>
      <c r="X36" s="23">
        <f>W36+(X24*X$29)</f>
        <v>1008820.6621800902</v>
      </c>
      <c r="Y36" s="23">
        <f>X36+(Y24*Y$29)</f>
        <v>1058231.023936698</v>
      </c>
      <c r="Z36" s="39">
        <f>Y36+(Z24*Z$29)</f>
        <v>1106345.5632925918</v>
      </c>
      <c r="AA36" s="23">
        <f>Z36+(AA24*AA$29)</f>
        <v>1153162.708246089</v>
      </c>
      <c r="AB36" s="23">
        <f>AA36+(AB24*AB$29)</f>
        <v>1198864.7156430818</v>
      </c>
      <c r="AC36" s="23">
        <f>AB36+(AC24*AC$29)</f>
        <v>1243447.5935514614</v>
      </c>
      <c r="AD36" s="23">
        <f>AC36+(AD24*AD$29)</f>
        <v>1287050.9040015722</v>
      </c>
      <c r="AE36" s="23">
        <f>AD36+(AE24*AE$29)</f>
        <v>1329687.4667685607</v>
      </c>
      <c r="AF36" s="23">
        <f>AE36+(AF24*AF$29)</f>
        <v>1371369.9592034877</v>
      </c>
      <c r="AG36" s="23">
        <f>AF36+(AG24*AG$29)</f>
        <v>1412232.5324931066</v>
      </c>
      <c r="AH36" s="23">
        <f>AG36+(AH24*AH$29)</f>
        <v>1452285.6376642263</v>
      </c>
      <c r="AI36" s="23">
        <f>AH36+(AI24*AI$29)</f>
        <v>1491539.6110020524</v>
      </c>
      <c r="AJ36" s="23">
        <f>AI36+(AJ24*AJ$29)</f>
        <v>1530123.394551184</v>
      </c>
      <c r="AK36" s="23">
        <f>AJ36+(AK24*AK$29)</f>
        <v>1568045.1990939465</v>
      </c>
      <c r="AL36" s="39">
        <f>AK36+(AL24*AL$29)</f>
        <v>1605313.1469322946</v>
      </c>
      <c r="AM36" s="23">
        <f>AL36+(AM24*AM$29)</f>
        <v>1641935.2727780081</v>
      </c>
      <c r="AN36" s="23">
        <f>AM36+(AN24*AN$29)</f>
        <v>1677919.5246343077</v>
      </c>
      <c r="AO36" s="23">
        <f>AN36+(AO24*AO$29)</f>
        <v>1713273.76466897</v>
      </c>
      <c r="AP36" s="23">
        <f>AO36+(AP24*AP$29)</f>
        <v>1748005.770079022</v>
      </c>
      <c r="AQ36" s="23">
        <f>AP36+(AQ24*AQ$29)</f>
        <v>1782123.2339470957</v>
      </c>
      <c r="AR36" s="23">
        <f>AQ36+(AR24*AR$29)</f>
        <v>1815633.7660895162</v>
      </c>
      <c r="AS36" s="23">
        <f>AR36+(AS24*AS$29)</f>
        <v>1848544.8938962065</v>
      </c>
      <c r="AT36" s="23">
        <f>AS36+(AT24*AT$29)</f>
        <v>1880864.0631624812</v>
      </c>
      <c r="AU36" s="23">
        <f>AT36+(AU24*AU$29)</f>
        <v>1912598.6389128072</v>
      </c>
      <c r="AV36" s="23">
        <f>AU36+(AV24*AV$29)</f>
        <v>1943755.9062166067</v>
      </c>
      <c r="AW36" s="23">
        <f>AV36+(AW24*AW$29)</f>
        <v>1974450.0191247761</v>
      </c>
      <c r="AX36" s="39">
        <f>AW36+(AX24*AX$29)</f>
        <v>2004686.394042538</v>
      </c>
      <c r="AY36" s="23">
        <f>AX36+(AY24*AY$29)</f>
        <v>2034470.3903545127</v>
      </c>
      <c r="AZ36" s="23">
        <f>AY36+(AZ24*AZ$29)</f>
        <v>2063807.3109903983</v>
      </c>
      <c r="BA36" s="23">
        <f>AZ36+(BA24*BA$29)</f>
        <v>2092702.402985248</v>
      </c>
      <c r="BB36" s="23">
        <f>BA36+(BB24*BB$29)</f>
        <v>2121160.8580343975</v>
      </c>
      <c r="BC36" s="23">
        <f>BB36+(BC24*BC$29)</f>
        <v>2149187.8130430905</v>
      </c>
      <c r="BD36" s="23">
        <f>BC36+(BD24*BD$29)</f>
        <v>2176788.3506708513</v>
      </c>
      <c r="BE36" s="23">
        <f>BD36+(BE24*BE$29)</f>
        <v>2203967.499870654</v>
      </c>
      <c r="BF36" s="23">
        <f>BE36+(BF24*BF$29)</f>
        <v>2230730.2364229388</v>
      </c>
      <c r="BG36" s="23">
        <f>BF36+(BG24*BG$29)</f>
        <v>2257081.483464516</v>
      </c>
      <c r="BH36" s="23">
        <f>BG36+(BH24*BH$29)</f>
        <v>2283026.1120124175</v>
      </c>
      <c r="BI36" s="23">
        <f>BH36+(BI24*BI$29)</f>
        <v>2308568.941482732</v>
      </c>
      <c r="BJ36" s="82">
        <f>BI36+(BJ24*BJ$29)</f>
        <v>2333714.740204474</v>
      </c>
      <c r="BM36" s="83">
        <v>1454715</v>
      </c>
      <c r="BN36" s="78">
        <f>BJ36-BM36</f>
        <v>878999.740204474</v>
      </c>
    </row>
    <row r="37" spans="1:66" ht="12.75">
      <c r="A37" s="62" t="s">
        <v>178</v>
      </c>
      <c r="B37" s="26">
        <f>B25*B$29</f>
        <v>-1100000</v>
      </c>
      <c r="C37" s="26">
        <f>B37+(C25*C$29)</f>
        <v>-867872</v>
      </c>
      <c r="D37" s="23">
        <f>C37+(D25*D$29)</f>
        <v>-665233.54112</v>
      </c>
      <c r="E37" s="23">
        <f>D37+(E25*E$29)</f>
        <v>-482490.49456639995</v>
      </c>
      <c r="F37" s="23">
        <f>E37+(F25*F$29)</f>
        <v>-314261.6317422731</v>
      </c>
      <c r="G37" s="23">
        <f>F37+(G25*G$29)</f>
        <v>-157628.95846247143</v>
      </c>
      <c r="H37" s="81">
        <f>G37+(H25*H$29)</f>
        <v>-11704.133515359194</v>
      </c>
      <c r="I37" s="23">
        <f>H37+(I25*I$29)</f>
        <v>124735.93459460384</v>
      </c>
      <c r="J37" s="23">
        <f>I37+(J25*J$29)</f>
        <v>252360.31083301577</v>
      </c>
      <c r="K37" s="23">
        <f>J37+(K25*K$29)</f>
        <v>371823.7489661026</v>
      </c>
      <c r="L37" s="23">
        <f>K37+(L25*L$29)</f>
        <v>483766.91142522555</v>
      </c>
      <c r="M37" s="23">
        <f>L37+(M25*M$29)</f>
        <v>588816.5862998287</v>
      </c>
      <c r="N37" s="39">
        <f>M37+(N25*N$29)</f>
        <v>687415.902671528</v>
      </c>
      <c r="O37" s="23">
        <f>N37+(O25*O$29)</f>
        <v>780167.2595894577</v>
      </c>
      <c r="P37" s="23">
        <f>O37+(P25*P$29)</f>
        <v>867659.7832089714</v>
      </c>
      <c r="Q37" s="23">
        <f>P37+(Q25*Q$29)</f>
        <v>950303.5815807069</v>
      </c>
      <c r="R37" s="23">
        <f>Q37+(R25*R$29)</f>
        <v>1028499.8823693851</v>
      </c>
      <c r="S37" s="23">
        <f>R37+(S25*S$29)</f>
        <v>1102804.4767356543</v>
      </c>
      <c r="T37" s="23">
        <f>S37+(T25*T$29)</f>
        <v>1173598.6281118195</v>
      </c>
      <c r="U37" s="23">
        <f>T37+(U25*U$29)</f>
        <v>1241415.8611225649</v>
      </c>
      <c r="V37" s="23">
        <f>U37+(V25*V$29)</f>
        <v>1306618.113053806</v>
      </c>
      <c r="W37" s="23">
        <f>V37+(W25*W$29)</f>
        <v>1369559.1700183165</v>
      </c>
      <c r="X37" s="23">
        <f>W37+(X25*X$29)</f>
        <v>1430584.794616108</v>
      </c>
      <c r="Y37" s="23">
        <f>X37+(Y25*Y$29)</f>
        <v>1489877.2287240375</v>
      </c>
      <c r="Z37" s="39">
        <f>Y37+(Z25*Z$29)</f>
        <v>1547614.6759511102</v>
      </c>
      <c r="AA37" s="23">
        <f>Z37+(AA25*AA$29)</f>
        <v>1603795.249895307</v>
      </c>
      <c r="AB37" s="23">
        <f>AA37+(AB25*AB$29)</f>
        <v>1658637.6587716984</v>
      </c>
      <c r="AC37" s="23">
        <f>AB37+(AC25*AC$29)</f>
        <v>1712137.1122617538</v>
      </c>
      <c r="AD37" s="23">
        <f>AC37+(AD25*AD$29)</f>
        <v>1764461.084801887</v>
      </c>
      <c r="AE37" s="23">
        <f>AD37+(AE25*AE$29)</f>
        <v>1815624.960122273</v>
      </c>
      <c r="AF37" s="23">
        <f>AE37+(AF25*AF$29)</f>
        <v>1865643.9510441856</v>
      </c>
      <c r="AG37" s="23">
        <f>AF37+(AG25*AG$29)</f>
        <v>1914679.0389917283</v>
      </c>
      <c r="AH37" s="23">
        <f>AG37+(AH25*AH$29)</f>
        <v>1962742.7651970722</v>
      </c>
      <c r="AI37" s="23">
        <f>AH37+(AI25*AI$29)</f>
        <v>2009847.5332024635</v>
      </c>
      <c r="AJ37" s="23">
        <f>AI37+(AJ25*AJ$29)</f>
        <v>2056148.0734614213</v>
      </c>
      <c r="AK37" s="23">
        <f>AJ37+(AK25*AK$29)</f>
        <v>2101654.238912736</v>
      </c>
      <c r="AL37" s="39">
        <f>AK37+(AL25*AL$29)</f>
        <v>2146375.7763187536</v>
      </c>
      <c r="AM37" s="23">
        <f>AL37+(AM25*AM$29)</f>
        <v>2190322.32733361</v>
      </c>
      <c r="AN37" s="23">
        <f>AM37+(AN25*AN$29)</f>
        <v>2233503.42956117</v>
      </c>
      <c r="AO37" s="23">
        <f>AN37+(AO25*AO$29)</f>
        <v>2275928.5176027645</v>
      </c>
      <c r="AP37" s="23">
        <f>AO37+(AP25*AP$29)</f>
        <v>2317606.9240948274</v>
      </c>
      <c r="AQ37" s="23">
        <f>AP37+(AQ25*AQ$29)</f>
        <v>2358547.880736516</v>
      </c>
      <c r="AR37" s="23">
        <f>AQ37+(AR25*AR$29)</f>
        <v>2398760.5193074206</v>
      </c>
      <c r="AS37" s="23">
        <f>AR37+(AS25*AS$29)</f>
        <v>2438253.872675449</v>
      </c>
      <c r="AT37" s="23">
        <f>AS37+(AT25*AT$29)</f>
        <v>2477036.875794979</v>
      </c>
      <c r="AU37" s="23">
        <f>AT37+(AU25*AU$29)</f>
        <v>2515118.36669537</v>
      </c>
      <c r="AV37" s="23">
        <f>AU37+(AV25*AV$29)</f>
        <v>2552507.0874599298</v>
      </c>
      <c r="AW37" s="23">
        <f>AV37+(AW25*AW$29)</f>
        <v>2589340.0229497333</v>
      </c>
      <c r="AX37" s="39">
        <f>AW37+(AX25*AX$29)</f>
        <v>2625623.6728510475</v>
      </c>
      <c r="AY37" s="23">
        <f>AX37+(AY25*AY$29)</f>
        <v>2661364.4684254173</v>
      </c>
      <c r="AZ37" s="23">
        <f>AY37+(AZ25*AZ$29)</f>
        <v>2696568.7731884797</v>
      </c>
      <c r="BA37" s="23">
        <f>AZ37+(BA25*BA$29)</f>
        <v>2731242.883582299</v>
      </c>
      <c r="BB37" s="23">
        <f>BA37+(BB25*BB$29)</f>
        <v>2765393.0296412786</v>
      </c>
      <c r="BC37" s="23">
        <f>BB37+(BC25*BC$29)</f>
        <v>2799025.3756517107</v>
      </c>
      <c r="BD37" s="23">
        <f>BC37+(BD25*BD$29)</f>
        <v>2832146.020805024</v>
      </c>
      <c r="BE37" s="23">
        <f>BD37+(BE25*BE$29)</f>
        <v>2864760.9998447876</v>
      </c>
      <c r="BF37" s="23">
        <f>BE37+(BF25*BF$29)</f>
        <v>2896876.283707529</v>
      </c>
      <c r="BG37" s="23">
        <f>BF37+(BG25*BG$29)</f>
        <v>2928497.7801574212</v>
      </c>
      <c r="BH37" s="23">
        <f>BG37+(BH25*BH$29)</f>
        <v>2959631.3344149035</v>
      </c>
      <c r="BI37" s="23">
        <f>BH37+(BI25*BI$29)</f>
        <v>2990282.729779281</v>
      </c>
      <c r="BJ37" s="82">
        <f>BI37+(BJ25*BJ$29)</f>
        <v>3020457.6882453714</v>
      </c>
      <c r="BM37" s="83">
        <v>2006528</v>
      </c>
      <c r="BN37" s="78">
        <f>BJ37-BM37</f>
        <v>1013929.6882453714</v>
      </c>
    </row>
  </sheetData>
  <sheetProtection selectLockedCells="1" selectUnlockedCells="1"/>
  <hyperlinks>
    <hyperlink ref="B3" r:id="rId1" display="s.10 http://www.norseenergy.com/media/Norse_Energy_IPAA_OGIS_NY_Presentation_Apr_12_2011.pdf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 Madsen</dc:creator>
  <cp:keywords/>
  <dc:description/>
  <cp:lastModifiedBy>Jørgen  Madsen</cp:lastModifiedBy>
  <dcterms:created xsi:type="dcterms:W3CDTF">2011-05-31T21:54:54Z</dcterms:created>
  <dcterms:modified xsi:type="dcterms:W3CDTF">2011-08-03T12:44:17Z</dcterms:modified>
  <cp:category/>
  <cp:version/>
  <cp:contentType/>
  <cp:contentStatus/>
  <cp:revision>63</cp:revision>
</cp:coreProperties>
</file>