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9" activeTab="0"/>
  </bookViews>
  <sheets>
    <sheet name="stand" sheetId="1" r:id="rId1"/>
    <sheet name="Vind" sheetId="2" r:id="rId2"/>
    <sheet name="MG-MM" sheetId="3" r:id="rId3"/>
    <sheet name="Ark1" sheetId="4" r:id="rId4"/>
    <sheet name="Ark2" sheetId="5" r:id="rId5"/>
  </sheets>
  <definedNames/>
  <calcPr fullCalcOnLoad="1"/>
</workbook>
</file>

<file path=xl/comments1.xml><?xml version="1.0" encoding="utf-8"?>
<comments xmlns="http://schemas.openxmlformats.org/spreadsheetml/2006/main">
  <authors>
    <author>JRM</author>
  </authors>
  <commentList>
    <comment ref="E15" authorId="0">
      <text>
        <r>
          <rPr>
            <sz val="10"/>
            <color indexed="12"/>
            <rFont val="Arial"/>
            <family val="2"/>
          </rPr>
          <t xml:space="preserve">http://www.greentech.dk/Images/Download%20PDFér/Fondsbørsmeddelelser/2010/1008_Monthly%20update%20March_16_4_2010%20-UK.pdf
</t>
        </r>
      </text>
    </comment>
    <comment ref="N15" authorId="0">
      <text>
        <r>
          <rPr>
            <sz val="10"/>
            <color indexed="12"/>
            <rFont val="Arial"/>
            <family val="2"/>
          </rPr>
          <t xml:space="preserve">http://www.greentech.dk/Images/Download%20PDFér/Fondsbørsmeddelelser/2010/1008_Monthly%20update%20March_16_4_2010%20-UK.pdf
</t>
        </r>
      </text>
    </comment>
    <comment ref="E40" authorId="0">
      <text>
        <r>
          <rPr>
            <sz val="10"/>
            <rFont val="Arial"/>
            <family val="2"/>
          </rPr>
          <t>Fra årsrapport 2009</t>
        </r>
      </text>
    </comment>
  </commentList>
</comments>
</file>

<file path=xl/comments2.xml><?xml version="1.0" encoding="utf-8"?>
<comments xmlns="http://schemas.openxmlformats.org/spreadsheetml/2006/main">
  <authors>
    <author>JRM</author>
  </authors>
  <commentList>
    <comment ref="S17" authorId="0">
      <text>
        <r>
          <rPr>
            <sz val="10"/>
            <rFont val="Arial"/>
            <family val="2"/>
          </rPr>
          <t xml:space="preserve">Netto
</t>
        </r>
      </text>
    </comment>
    <comment ref="R19" authorId="0">
      <text>
        <r>
          <rPr>
            <sz val="10"/>
            <rFont val="Arial"/>
            <family val="2"/>
          </rPr>
          <t>Fra årsrapport 2008</t>
        </r>
      </text>
    </comment>
  </commentList>
</comments>
</file>

<file path=xl/sharedStrings.xml><?xml version="1.0" encoding="utf-8"?>
<sst xmlns="http://schemas.openxmlformats.org/spreadsheetml/2006/main" count="337" uniqueCount="211">
  <si>
    <t>Standardår</t>
  </si>
  <si>
    <t>Euro =</t>
  </si>
  <si>
    <t>kr.</t>
  </si>
  <si>
    <t>Formålet er at få et øjebliksbillede af GES med færdiggørelse af igangværende projekter.</t>
  </si>
  <si>
    <t>Dog er den finansielle side ikke færdig.</t>
  </si>
  <si>
    <t>De medtagne data om produktion i Q1 2010 og tilslutning af turbiner på MM og MG muliggør et billede af 2010 produktion/indtægter</t>
  </si>
  <si>
    <t>FORUDSÆTNINGER 1:</t>
  </si>
  <si>
    <t>Der ses kun på de eksisterende parker herunder MG og MM samt på Cagliari II.</t>
  </si>
  <si>
    <t>Cagliari II er medtaget, da halvdelen af udgifterne er afholdt, så selv et 50% projektlån finansierer resten fuldt ud</t>
  </si>
  <si>
    <t>ydermere kan det angiveligt gøres færdigt på et halvt år, så i princippet kunne det køre fuldt allerede 2011.</t>
  </si>
  <si>
    <t>Der er ikke indregnet brug af option på overtagelse af de sidste 15% af MM.</t>
  </si>
  <si>
    <t>Afregningspriser og forventede årsproduktioner for de italienske parker som angivet i 2009 årsrapport.</t>
  </si>
  <si>
    <t>Der forsøges at se på standard vindår for at finde standardproduktion for de øvrige parker.. Se arket ”vind”.</t>
  </si>
  <si>
    <t>Produktionstal 2010</t>
  </si>
  <si>
    <t>jan</t>
  </si>
  <si>
    <t>feb</t>
  </si>
  <si>
    <t>mar</t>
  </si>
  <si>
    <t xml:space="preserve"> 2009 Produktionstal </t>
  </si>
  <si>
    <t>Danmark</t>
  </si>
  <si>
    <t>Tyskland</t>
  </si>
  <si>
    <t>Polen</t>
  </si>
  <si>
    <t>Energia Verde</t>
  </si>
  <si>
    <t>Monte Grihine</t>
  </si>
  <si>
    <t>Minerva Messina</t>
  </si>
  <si>
    <t>Afsætningspriser Tkr/MWh</t>
  </si>
  <si>
    <t>garanteret i 2010</t>
  </si>
  <si>
    <t>I 2009 var der kontrakt på 0,556 kr.  Fra 2011 er garanti 0,33 (til gengæld er projektlån afviklet da). Sidste beløb er baggrund for nedskrivning af projektværdier i 2009.</t>
  </si>
  <si>
    <t xml:space="preserve">for Gehlenberg </t>
  </si>
  <si>
    <t>for Tiefental og Wormlage</t>
  </si>
  <si>
    <t>som i 2008. I 2009 var prisen 0,67</t>
  </si>
  <si>
    <t>Italien</t>
  </si>
  <si>
    <t>svarende til 0,16 Euro. I 2007-9 har prisen været 0,17-19 Euro.</t>
  </si>
  <si>
    <t>Indtægt, standardår</t>
  </si>
  <si>
    <t>(netto til GES)</t>
  </si>
  <si>
    <t>(Tkr)</t>
  </si>
  <si>
    <t>navn</t>
  </si>
  <si>
    <t>MW</t>
  </si>
  <si>
    <t>andel</t>
  </si>
  <si>
    <t>100%MWh</t>
  </si>
  <si>
    <t>prod.pr.MW</t>
  </si>
  <si>
    <t>riskfaktor</t>
  </si>
  <si>
    <t>salgspris</t>
  </si>
  <si>
    <t xml:space="preserve">Gehlenberg </t>
  </si>
  <si>
    <t>Tiefental og Wormlage</t>
  </si>
  <si>
    <t>Cagliari II</t>
  </si>
  <si>
    <t>subtotal</t>
  </si>
  <si>
    <t>Tkr.</t>
  </si>
  <si>
    <t>Nogle udgiftstal</t>
  </si>
  <si>
    <t>driftomkostninger og afskrivninger (aktive anlæg) både 2008 og 2009 49-50 mio.kr.</t>
  </si>
  <si>
    <t xml:space="preserve">ved proportionalitet for MW stigning til </t>
  </si>
  <si>
    <t>finansielle omkostninger 2008 og 2009 12-15 mio.kr.</t>
  </si>
  <si>
    <t>administrationspmkostninger steg fra 27 til 33,5 mio.kr.</t>
  </si>
  <si>
    <t>En nutidsværdiberegning</t>
  </si>
  <si>
    <t>FORUDSÆTNINGER 2:</t>
  </si>
  <si>
    <t>Cagliari II, hvor halvdelen af udgifterne er afholdt færdiggøres for præcis den sum som projektfinansiering indbringer</t>
  </si>
  <si>
    <t>I 2011 når Cagliari II op på halv produktion</t>
  </si>
  <si>
    <t>Almindelig standardproduktion med angivne priser for de andre færdige parker</t>
  </si>
  <si>
    <t>Der regnes med et nulregnskab for 2010</t>
  </si>
  <si>
    <t>Godt nok er udmelding et lille minus, men her er f.eks. ikke indregnet den erstatning der skal komme fra Nordex på et tidspunkt ej heller  mulig kontrakt for højere afregningspris i Dk eller at produktionen fra MM bør svare til mere end et halvt år</t>
  </si>
  <si>
    <t>Der er ikke indregnet værdi for salg af projekter eller andre indtægter vedr. pipeline.</t>
  </si>
  <si>
    <t xml:space="preserve">Driftudgifter, som ellers med lavt udviklingsniveau kunne skæres fastholdes </t>
  </si>
  <si>
    <t>Beregning af elproduktion i standardår</t>
  </si>
  <si>
    <t>I mangel på en liste fra GES over forventet produktion fra de enkelte områder/parker er der her lavet en beregning</t>
  </si>
  <si>
    <t>For MG og MM har GES dog angivet forventet årlig produktion</t>
  </si>
  <si>
    <t>I årsrapporten for 2009 er tegnet nogle grafer for standardvindår og for vinden i 2008 og 9</t>
  </si>
  <si>
    <t>disse er tegnet for hhv. Danmark, Tyskland og Polen</t>
  </si>
  <si>
    <t>For Tyskland er flg. Beregning ikke uproblematisk, da parkerne ligger med stor afstand og har forskellig afregningspris.</t>
  </si>
  <si>
    <t>DANMARK (s.11)</t>
  </si>
  <si>
    <t>beregning af</t>
  </si>
  <si>
    <t xml:space="preserve">Aflæsninger 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</si>
  <si>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</si>
  <si>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</si>
  <si>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</si>
  <si>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</si>
  <si>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</si>
  <si>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</si>
  <si>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</si>
  <si>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</si>
  <si>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</si>
  <si>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gnms.</t>
  </si>
  <si>
    <t xml:space="preserve">produceret </t>
  </si>
  <si>
    <t>standardår</t>
  </si>
  <si>
    <t>bem.</t>
  </si>
  <si>
    <t>Mwh</t>
  </si>
  <si>
    <t>udskiftning af gearkasser i 3 vindmøller</t>
  </si>
  <si>
    <t>TYSKLAND (s.12)</t>
  </si>
  <si>
    <t>Mwh (netto)</t>
  </si>
  <si>
    <t>1 mølle i Wormlage været stoppet i 2 måneder</t>
  </si>
  <si>
    <t>POLEN (s.13)</t>
  </si>
  <si>
    <t>½</t>
  </si>
  <si>
    <t>Energia Verde (s.14)</t>
  </si>
  <si>
    <t xml:space="preserve">her er vindforholdene opgjort anderledes og både 2008 (opstart) og 2009 (udskiftning af vinger og </t>
  </si>
  <si>
    <t>MG og MM</t>
  </si>
  <si>
    <t>tilslutninger forår 2010</t>
  </si>
  <si>
    <t>?</t>
  </si>
  <si>
    <t>(?)</t>
  </si>
  <si>
    <t>møller kommissioneret</t>
  </si>
  <si>
    <t>produktionsdage</t>
  </si>
  <si>
    <t>Teuro</t>
  </si>
  <si>
    <t>MG</t>
  </si>
  <si>
    <t>MM</t>
  </si>
  <si>
    <t>Mølledage</t>
  </si>
  <si>
    <t>Egentlig skal mølledage nok være en smule højere</t>
  </si>
  <si>
    <t>januar</t>
  </si>
  <si>
    <t>da tilslutning typisk vil være sket lidt før udmeldt</t>
  </si>
  <si>
    <t>februar</t>
  </si>
  <si>
    <t>omvendt kan der være tilretninger</t>
  </si>
  <si>
    <t>marts</t>
  </si>
  <si>
    <t>med lavere produktion efter tilslutning</t>
  </si>
  <si>
    <t>april</t>
  </si>
  <si>
    <t>Greentech</t>
  </si>
  <si>
    <t>2008 inv</t>
  </si>
  <si>
    <t>Q3</t>
  </si>
  <si>
    <t>år est.</t>
  </si>
  <si>
    <t>prod.drift (mio)</t>
  </si>
  <si>
    <t>MWh</t>
  </si>
  <si>
    <t>pris/KWh</t>
  </si>
  <si>
    <t xml:space="preserve">ind </t>
  </si>
  <si>
    <t>pris</t>
  </si>
  <si>
    <t>ind</t>
  </si>
  <si>
    <t>år,start</t>
  </si>
  <si>
    <t>16/2 07</t>
  </si>
  <si>
    <t>Wormlage</t>
  </si>
  <si>
    <t>Tiefental</t>
  </si>
  <si>
    <t>Gehlenberg</t>
  </si>
  <si>
    <t>Połczyno</t>
  </si>
  <si>
    <t>.</t>
  </si>
  <si>
    <t>Smolecin</t>
  </si>
  <si>
    <t>2009ult</t>
  </si>
  <si>
    <t>Ustka</t>
  </si>
  <si>
    <t>Parnowo</t>
  </si>
  <si>
    <t>2010 primo</t>
  </si>
  <si>
    <t>Puck</t>
  </si>
  <si>
    <t>Wojciechowo</t>
  </si>
  <si>
    <t>Porzecze-Dobiesław</t>
  </si>
  <si>
    <t>Osieki</t>
  </si>
  <si>
    <t>Pomorze offshore</t>
  </si>
  <si>
    <t>15/7 07</t>
  </si>
  <si>
    <t>1/7 2009</t>
  </si>
  <si>
    <t>25/5 2009</t>
  </si>
  <si>
    <t>Cagliari III</t>
  </si>
  <si>
    <t>Brindisi</t>
  </si>
  <si>
    <t>2010 ult</t>
  </si>
  <si>
    <t>Campo d'oro</t>
  </si>
  <si>
    <t>Candela</t>
  </si>
  <si>
    <t>Montemilone</t>
  </si>
  <si>
    <t>Francavilla Fontana</t>
  </si>
  <si>
    <t>Guardia dei Lombardi</t>
  </si>
  <si>
    <t>Crotone</t>
  </si>
  <si>
    <t>Due Serri</t>
  </si>
  <si>
    <t>Monte Grighine II</t>
  </si>
  <si>
    <t>Carbonia</t>
  </si>
  <si>
    <t>Norge</t>
  </si>
  <si>
    <t>Kollsnes</t>
  </si>
  <si>
    <t>cash</t>
  </si>
  <si>
    <t>udestående</t>
  </si>
  <si>
    <t>lån</t>
  </si>
  <si>
    <t>år0</t>
  </si>
  <si>
    <t>billigt køb</t>
  </si>
  <si>
    <t>100MW</t>
  </si>
  <si>
    <t>år1</t>
  </si>
  <si>
    <t>tilladelser</t>
  </si>
  <si>
    <t>Salg ½</t>
  </si>
  <si>
    <t>50 MW</t>
  </si>
  <si>
    <t>Projektlån</t>
  </si>
  <si>
    <t>år2</t>
  </si>
  <si>
    <t>konstruktion</t>
  </si>
  <si>
    <t>afdrag og rente</t>
  </si>
  <si>
    <t>år3</t>
  </si>
  <si>
    <t>drift</t>
  </si>
  <si>
    <t>år 4</t>
  </si>
  <si>
    <t>År 5</t>
  </si>
  <si>
    <t>diverse oplysninger</t>
  </si>
  <si>
    <t>projektværdier</t>
  </si>
  <si>
    <t>tekst</t>
  </si>
  <si>
    <t>pris/Mw</t>
  </si>
  <si>
    <t>www</t>
  </si>
  <si>
    <t>Nomura</t>
  </si>
  <si>
    <t>an attractive multiple below EUR 1300/kW</t>
  </si>
  <si>
    <t>(om MG)</t>
  </si>
  <si>
    <t>http://www.proinvestor.dk/uploads/debate/11516.pdf</t>
  </si>
  <si>
    <t>HenryAS</t>
  </si>
  <si>
    <t>november 2008 blev nævnt at et fuldt monteret anlæg blev handlet til 3,3 mill. EUR pr MW og tidligere iefteråret 3,1 mill EUR</t>
  </si>
  <si>
    <t>http://www.proinvestor.dk/index.php?p=debat&amp;postid=11616</t>
  </si>
  <si>
    <t xml:space="preserve">troldmanden </t>
  </si>
  <si>
    <t>Det er nu muligt at få helt nye projekter til under 100.000 euro per mw</t>
  </si>
  <si>
    <t>http://www.proinvestor.dk/index.php?p=debat&amp;postid=11495#</t>
  </si>
  <si>
    <t>det typisk koster 10-30.000 euro at udvikle én mw.</t>
  </si>
  <si>
    <t>Minerva Messina og Cagliari II. Her mangler der samlede investeringer på cirka 25 mio. euro</t>
  </si>
  <si>
    <t>http://finans.tv2.dk/nyheder/article.php?id=22422226</t>
  </si>
  <si>
    <r>
      <t>MG:</t>
    </r>
    <r>
      <rPr>
        <sz val="12"/>
        <rFont val=""/>
        <family val="1"/>
      </rPr>
      <t>projektfinansiering på sandsynligvis 100 mio. euro</t>
    </r>
  </si>
  <si>
    <t>GES inv</t>
  </si>
  <si>
    <t>Disponering af kapital i perioden 30.09.07 – 31.12.08</t>
  </si>
  <si>
    <t>Emissionsprovenu</t>
  </si>
  <si>
    <t>Investeringer:</t>
  </si>
  <si>
    <t>Monte Grighine</t>
  </si>
  <si>
    <t>Messina</t>
  </si>
  <si>
    <t>Energia Alternativa</t>
  </si>
  <si>
    <t>Øvrige</t>
  </si>
  <si>
    <t>In 2008, the Company succeeded in raising project financing</t>
  </si>
  <si>
    <t>fra regnskab2008</t>
  </si>
  <si>
    <t>for the Energia Verde and Minerva Messina projects</t>
  </si>
  <si>
    <t>in the amount of approximately TDKK 800,000</t>
  </si>
  <si>
    <t>Tysk konsortium vil investere 3000 Mia. i solfangeranlæg i Sahara</t>
  </si>
  <si>
    <t>eRoveryAgent</t>
  </si>
  <si>
    <t>kinesiske tegn</t>
  </si>
  <si>
    <t>15års lån</t>
  </si>
  <si>
    <t>eks</t>
  </si>
  <si>
    <t>r+a</t>
  </si>
  <si>
    <t>r</t>
  </si>
  <si>
    <t>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</si>
</sst>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0.000"/>
    <numFmt numFmtId="167" formatCode="0%"/>
    <numFmt numFmtId="168" formatCode="#,##0"/>
    <numFmt numFmtId="169" formatCode="0.00"/>
    <numFmt numFmtId="170" formatCode="0.00000"/>
    <numFmt numFmtId="171" formatCode="DD/MM/YY"/>
    <numFmt numFmtId="172" formatCode="0.0%"/>
    <numFmt numFmtId="173" formatCode="0.00%"/>
  </numFmts>
  <fonts count="26">
    <font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2"/>
      <name val=""/>
      <family val="1"/>
    </font>
    <font>
      <b/>
      <sz val="12"/>
      <color indexed="8"/>
      <name val="Verdana;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 horizontal="center"/>
    </xf>
    <xf numFmtId="164" fontId="6" fillId="0" borderId="0" xfId="0" applyFont="1" applyAlignment="1">
      <alignment/>
    </xf>
    <xf numFmtId="167" fontId="0" fillId="0" borderId="0" xfId="0" applyNumberFormat="1" applyAlignment="1">
      <alignment horizontal="center"/>
    </xf>
    <xf numFmtId="168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4" fontId="7" fillId="0" borderId="0" xfId="0" applyFont="1" applyAlignment="1">
      <alignment/>
    </xf>
    <xf numFmtId="167" fontId="6" fillId="0" borderId="0" xfId="0" applyNumberFormat="1" applyFont="1" applyAlignment="1">
      <alignment horizontal="center"/>
    </xf>
    <xf numFmtId="164" fontId="8" fillId="0" borderId="0" xfId="0" applyFont="1" applyAlignment="1">
      <alignment/>
    </xf>
    <xf numFmtId="169" fontId="0" fillId="0" borderId="0" xfId="0" applyNumberFormat="1" applyAlignment="1">
      <alignment horizontal="center"/>
    </xf>
    <xf numFmtId="168" fontId="8" fillId="0" borderId="0" xfId="0" applyNumberFormat="1" applyFont="1" applyAlignment="1">
      <alignment/>
    </xf>
    <xf numFmtId="164" fontId="8" fillId="0" borderId="1" xfId="0" applyFont="1" applyBorder="1" applyAlignment="1">
      <alignment/>
    </xf>
    <xf numFmtId="164" fontId="8" fillId="0" borderId="0" xfId="0" applyFont="1" applyAlignment="1">
      <alignment horizontal="center"/>
    </xf>
    <xf numFmtId="168" fontId="3" fillId="0" borderId="0" xfId="0" applyNumberFormat="1" applyFont="1" applyAlignment="1">
      <alignment/>
    </xf>
    <xf numFmtId="165" fontId="9" fillId="0" borderId="2" xfId="0" applyNumberFormat="1" applyFont="1" applyBorder="1" applyAlignment="1">
      <alignment horizontal="center"/>
    </xf>
    <xf numFmtId="168" fontId="10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5" fontId="12" fillId="0" borderId="0" xfId="0" applyNumberFormat="1" applyFont="1" applyAlignment="1">
      <alignment horizontal="left"/>
    </xf>
    <xf numFmtId="164" fontId="14" fillId="0" borderId="0" xfId="0" applyFont="1" applyAlignment="1">
      <alignment/>
    </xf>
    <xf numFmtId="170" fontId="0" fillId="0" borderId="0" xfId="0" applyNumberFormat="1" applyAlignment="1">
      <alignment/>
    </xf>
    <xf numFmtId="164" fontId="0" fillId="0" borderId="3" xfId="0" applyFont="1" applyBorder="1" applyAlignment="1">
      <alignment/>
    </xf>
    <xf numFmtId="164" fontId="0" fillId="0" borderId="0" xfId="0" applyFont="1" applyAlignment="1">
      <alignment horizontal="right"/>
    </xf>
    <xf numFmtId="164" fontId="6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71" fontId="17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8" fontId="20" fillId="0" borderId="0" xfId="0" applyNumberFormat="1" applyFont="1" applyAlignment="1">
      <alignment/>
    </xf>
    <xf numFmtId="169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4" fontId="6" fillId="0" borderId="0" xfId="0" applyFont="1" applyFill="1" applyBorder="1" applyAlignment="1">
      <alignment/>
    </xf>
    <xf numFmtId="164" fontId="22" fillId="0" borderId="0" xfId="0" applyFont="1" applyAlignment="1">
      <alignment/>
    </xf>
    <xf numFmtId="164" fontId="6" fillId="0" borderId="4" xfId="0" applyFont="1" applyBorder="1" applyAlignment="1">
      <alignment horizontal="left"/>
    </xf>
    <xf numFmtId="164" fontId="5" fillId="0" borderId="0" xfId="0" applyFont="1" applyAlignment="1">
      <alignment horizontal="right"/>
    </xf>
    <xf numFmtId="167" fontId="5" fillId="0" borderId="5" xfId="0" applyNumberFormat="1" applyFont="1" applyBorder="1" applyAlignment="1">
      <alignment horizontal="right"/>
    </xf>
    <xf numFmtId="164" fontId="6" fillId="0" borderId="6" xfId="0" applyFont="1" applyBorder="1" applyAlignment="1">
      <alignment horizontal="left"/>
    </xf>
    <xf numFmtId="164" fontId="5" fillId="0" borderId="3" xfId="0" applyFont="1" applyBorder="1" applyAlignment="1">
      <alignment horizontal="right"/>
    </xf>
    <xf numFmtId="172" fontId="5" fillId="0" borderId="0" xfId="0" applyNumberFormat="1" applyFont="1" applyAlignment="1">
      <alignment/>
    </xf>
    <xf numFmtId="164" fontId="23" fillId="0" borderId="0" xfId="0" applyFont="1" applyAlignment="1">
      <alignment/>
    </xf>
    <xf numFmtId="164" fontId="25" fillId="0" borderId="0" xfId="0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2"/>
  <sheetViews>
    <sheetView tabSelected="1" workbookViewId="0" topLeftCell="A26">
      <selection activeCell="A34" sqref="A34"/>
    </sheetView>
  </sheetViews>
  <sheetFormatPr defaultColWidth="9.140625" defaultRowHeight="12.75"/>
  <cols>
    <col min="2" max="2" width="18.7109375" style="0" customWidth="1"/>
    <col min="5" max="5" width="11.28125" style="0" customWidth="1"/>
    <col min="6" max="6" width="11.8515625" style="0" customWidth="1"/>
    <col min="9" max="9" width="7.28125" style="0" customWidth="1"/>
  </cols>
  <sheetData>
    <row r="1" spans="1:10" ht="17.25">
      <c r="A1" s="1" t="s">
        <v>0</v>
      </c>
      <c r="H1" s="2" t="s">
        <v>1</v>
      </c>
      <c r="I1">
        <v>7.45</v>
      </c>
      <c r="J1" t="s">
        <v>2</v>
      </c>
    </row>
    <row r="2" spans="1:8" ht="17.25">
      <c r="A2" s="1"/>
      <c r="B2" t="s">
        <v>3</v>
      </c>
      <c r="H2" s="2"/>
    </row>
    <row r="3" spans="1:8" ht="18">
      <c r="A3" s="1"/>
      <c r="B3" t="s">
        <v>4</v>
      </c>
      <c r="H3" s="2"/>
    </row>
    <row r="4" spans="1:8" ht="18">
      <c r="A4" s="1"/>
      <c r="B4" t="s">
        <v>5</v>
      </c>
      <c r="H4" s="2"/>
    </row>
    <row r="6" ht="12.75">
      <c r="A6" t="s">
        <v>6</v>
      </c>
    </row>
    <row r="7" ht="12.75">
      <c r="B7" t="s">
        <v>7</v>
      </c>
    </row>
    <row r="8" ht="12.75">
      <c r="C8" t="s">
        <v>8</v>
      </c>
    </row>
    <row r="9" ht="12.75">
      <c r="D9" t="s">
        <v>9</v>
      </c>
    </row>
    <row r="10" ht="12.75">
      <c r="B10" t="s">
        <v>10</v>
      </c>
    </row>
    <row r="11" ht="12.75">
      <c r="B11" t="s">
        <v>11</v>
      </c>
    </row>
    <row r="12" ht="12.75">
      <c r="B12" t="s">
        <v>12</v>
      </c>
    </row>
    <row r="15" spans="1:14" ht="12.75">
      <c r="A15" t="s">
        <v>13</v>
      </c>
      <c r="C15" t="s">
        <v>14</v>
      </c>
      <c r="D15" t="s">
        <v>15</v>
      </c>
      <c r="E15" t="s">
        <v>16</v>
      </c>
      <c r="J15" t="s">
        <v>17</v>
      </c>
      <c r="L15" t="s">
        <v>14</v>
      </c>
      <c r="M15" t="s">
        <v>15</v>
      </c>
      <c r="N15" t="s">
        <v>16</v>
      </c>
    </row>
    <row r="16" spans="2:14" ht="12.75">
      <c r="B16" t="s">
        <v>18</v>
      </c>
      <c r="C16">
        <v>2159</v>
      </c>
      <c r="D16">
        <v>1277.1</v>
      </c>
      <c r="E16" s="3">
        <v>1976.3</v>
      </c>
      <c r="J16">
        <v>24108</v>
      </c>
      <c r="K16" t="s">
        <v>18</v>
      </c>
      <c r="L16">
        <v>2811</v>
      </c>
      <c r="M16">
        <v>1629.1</v>
      </c>
      <c r="N16">
        <v>2483.4</v>
      </c>
    </row>
    <row r="17" spans="2:14" ht="12.75">
      <c r="B17" t="s">
        <v>19</v>
      </c>
      <c r="C17">
        <v>3159.9</v>
      </c>
      <c r="D17">
        <v>3646</v>
      </c>
      <c r="E17" s="3">
        <v>4244.1</v>
      </c>
      <c r="K17" t="s">
        <v>19</v>
      </c>
      <c r="L17">
        <v>3856.7</v>
      </c>
      <c r="M17">
        <v>3582.6</v>
      </c>
      <c r="N17">
        <v>4165.4</v>
      </c>
    </row>
    <row r="18" spans="2:14" ht="12.75">
      <c r="B18" t="s">
        <v>20</v>
      </c>
      <c r="C18">
        <v>136.3</v>
      </c>
      <c r="D18">
        <v>178.2</v>
      </c>
      <c r="E18" s="3">
        <v>272.2</v>
      </c>
      <c r="J18">
        <v>2771.9</v>
      </c>
      <c r="K18" t="s">
        <v>20</v>
      </c>
      <c r="L18">
        <v>321</v>
      </c>
      <c r="M18">
        <v>237.4</v>
      </c>
      <c r="N18">
        <v>291.3</v>
      </c>
    </row>
    <row r="19" spans="2:14" ht="12.75">
      <c r="B19" t="s">
        <v>21</v>
      </c>
      <c r="C19">
        <v>2629.9</v>
      </c>
      <c r="D19">
        <v>3929.8</v>
      </c>
      <c r="E19" s="3">
        <v>3212.3</v>
      </c>
      <c r="K19" t="s">
        <v>21</v>
      </c>
      <c r="M19">
        <v>2160.4</v>
      </c>
      <c r="N19">
        <v>3368.5</v>
      </c>
    </row>
    <row r="20" spans="2:11" ht="12.75">
      <c r="B20" t="s">
        <v>22</v>
      </c>
      <c r="C20">
        <v>892.5</v>
      </c>
      <c r="D20">
        <v>1598.8</v>
      </c>
      <c r="E20" s="3">
        <v>2109.6</v>
      </c>
      <c r="K20" t="s">
        <v>22</v>
      </c>
    </row>
    <row r="21" spans="2:11" ht="12.75">
      <c r="B21" t="s">
        <v>23</v>
      </c>
      <c r="C21">
        <v>0</v>
      </c>
      <c r="D21">
        <v>0</v>
      </c>
      <c r="E21" s="3">
        <v>381.7</v>
      </c>
      <c r="K21" t="s">
        <v>23</v>
      </c>
    </row>
    <row r="25" ht="12.75">
      <c r="A25" s="4" t="s">
        <v>24</v>
      </c>
    </row>
    <row r="26" spans="2:6" ht="12.75">
      <c r="B26" t="s">
        <v>18</v>
      </c>
      <c r="C26">
        <v>0.43</v>
      </c>
      <c r="D26" t="s">
        <v>25</v>
      </c>
      <c r="F26" t="s">
        <v>26</v>
      </c>
    </row>
    <row r="27" spans="2:4" ht="12.75">
      <c r="B27" t="s">
        <v>19</v>
      </c>
      <c r="C27">
        <v>0.68</v>
      </c>
      <c r="D27" t="s">
        <v>27</v>
      </c>
    </row>
    <row r="28" spans="3:4" ht="12.75">
      <c r="C28">
        <v>0.63</v>
      </c>
      <c r="D28" t="s">
        <v>28</v>
      </c>
    </row>
    <row r="29" spans="1:4" ht="12.75">
      <c r="A29" s="5"/>
      <c r="B29" t="s">
        <v>20</v>
      </c>
      <c r="C29">
        <v>0.61</v>
      </c>
      <c r="D29" t="s">
        <v>29</v>
      </c>
    </row>
    <row r="30" spans="1:4" ht="12.75">
      <c r="A30" s="5"/>
      <c r="B30" t="s">
        <v>30</v>
      </c>
      <c r="C30" s="6">
        <f>0.16*7.45</f>
        <v>1.192</v>
      </c>
      <c r="D30" t="s">
        <v>31</v>
      </c>
    </row>
    <row r="34" spans="1:8" ht="15">
      <c r="A34" s="7" t="s">
        <v>32</v>
      </c>
      <c r="E34" s="8" t="s">
        <v>33</v>
      </c>
      <c r="H34" s="9" t="s">
        <v>34</v>
      </c>
    </row>
    <row r="35" spans="1:8" ht="12.75">
      <c r="A35" s="8"/>
      <c r="B35" t="s">
        <v>35</v>
      </c>
      <c r="C35" s="10" t="s">
        <v>36</v>
      </c>
      <c r="D35" s="10" t="s">
        <v>37</v>
      </c>
      <c r="E35" t="s">
        <v>38</v>
      </c>
      <c r="F35" t="s">
        <v>39</v>
      </c>
      <c r="G35" t="s">
        <v>40</v>
      </c>
      <c r="H35" t="s">
        <v>41</v>
      </c>
    </row>
    <row r="36" spans="1:8" ht="12.75">
      <c r="A36" s="8"/>
      <c r="B36" t="s">
        <v>18</v>
      </c>
      <c r="C36">
        <v>15.45</v>
      </c>
      <c r="D36" s="11">
        <v>1</v>
      </c>
      <c r="E36" s="12">
        <f>Vind!R12</f>
        <v>27000</v>
      </c>
      <c r="F36" s="13">
        <f>E36/C36</f>
        <v>1747.5728155339805</v>
      </c>
      <c r="G36" s="9">
        <v>0.96</v>
      </c>
      <c r="H36" s="14">
        <f>E36*G36*C26</f>
        <v>11145.6</v>
      </c>
    </row>
    <row r="37" spans="1:8" ht="12.75">
      <c r="A37" s="15"/>
      <c r="B37" t="s">
        <v>42</v>
      </c>
      <c r="C37">
        <v>23.4</v>
      </c>
      <c r="D37" s="11">
        <v>1</v>
      </c>
      <c r="E37" s="12">
        <f>Vind!U18</f>
        <v>33600</v>
      </c>
      <c r="F37" s="13">
        <f>E37/C37</f>
        <v>1435.8974358974358</v>
      </c>
      <c r="G37" s="9">
        <v>0.96</v>
      </c>
      <c r="H37" s="14">
        <f>E37*G37*C27</f>
        <v>21934.08</v>
      </c>
    </row>
    <row r="38" spans="1:8" ht="12.75">
      <c r="A38" s="15"/>
      <c r="B38" t="s">
        <v>43</v>
      </c>
      <c r="C38">
        <v>13.5</v>
      </c>
      <c r="D38" s="11">
        <v>0.5</v>
      </c>
      <c r="E38" s="12">
        <f>Vind!V18*D38</f>
        <v>8250</v>
      </c>
      <c r="F38" s="13">
        <f>E38/C38/D38</f>
        <v>1222.2222222222222</v>
      </c>
      <c r="G38" s="9">
        <v>0.96</v>
      </c>
      <c r="H38" s="14">
        <f>E38*G38*C28</f>
        <v>4989.6</v>
      </c>
    </row>
    <row r="39" spans="1:8" ht="12.75">
      <c r="A39" s="15"/>
      <c r="B39" t="s">
        <v>20</v>
      </c>
      <c r="C39">
        <v>1.6</v>
      </c>
      <c r="D39" s="11">
        <v>1</v>
      </c>
      <c r="E39" s="12">
        <f>Vind!R24</f>
        <v>3100</v>
      </c>
      <c r="F39" s="13">
        <f>E39/C39/D39</f>
        <v>1937.5</v>
      </c>
      <c r="G39" s="9">
        <v>0.94</v>
      </c>
      <c r="H39" s="14">
        <f>E39*G39*C29</f>
        <v>1777.54</v>
      </c>
    </row>
    <row r="40" spans="1:45" s="17" customFormat="1" ht="12.75">
      <c r="A40" s="15"/>
      <c r="B40" s="2" t="s">
        <v>21</v>
      </c>
      <c r="C40" s="10">
        <v>21</v>
      </c>
      <c r="D40" s="16">
        <v>1</v>
      </c>
      <c r="E40" s="12">
        <v>37750</v>
      </c>
      <c r="F40" s="13">
        <f>E40/C40/D40</f>
        <v>1797.6190476190477</v>
      </c>
      <c r="G40" s="9">
        <v>0.9200000000000002</v>
      </c>
      <c r="H40" s="14">
        <f>E40*G40*C$30</f>
        <v>41398.16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8" ht="11.25" customHeight="1">
      <c r="A41" s="8"/>
      <c r="B41" t="s">
        <v>23</v>
      </c>
      <c r="C41" s="10">
        <v>48.3</v>
      </c>
      <c r="D41" s="16">
        <v>0.85</v>
      </c>
      <c r="E41" s="12">
        <f>76500*D41</f>
        <v>65025</v>
      </c>
      <c r="F41" s="13">
        <f>E41/C41/D41</f>
        <v>1583.8509316770185</v>
      </c>
      <c r="G41" s="18">
        <v>0.9000000000000002</v>
      </c>
      <c r="H41" s="14">
        <f>E41*G41*C$30</f>
        <v>69758.82000000002</v>
      </c>
    </row>
    <row r="42" spans="1:8" ht="11.25" customHeight="1">
      <c r="A42" s="8"/>
      <c r="B42" t="s">
        <v>22</v>
      </c>
      <c r="C42" s="10">
        <v>98.9</v>
      </c>
      <c r="D42" s="11">
        <v>0.5</v>
      </c>
      <c r="E42" s="12">
        <f>135000*D42</f>
        <v>67500</v>
      </c>
      <c r="F42" s="13">
        <f>E42/C42/D42</f>
        <v>1365.015166835187</v>
      </c>
      <c r="G42" s="18">
        <v>0.9000000000000002</v>
      </c>
      <c r="H42" s="14">
        <f>E42*G42*C$30</f>
        <v>72414.00000000001</v>
      </c>
    </row>
    <row r="43" spans="1:45" ht="12.75">
      <c r="A43" s="8"/>
      <c r="B43" t="s">
        <v>44</v>
      </c>
      <c r="C43" s="10">
        <v>24</v>
      </c>
      <c r="D43" s="11">
        <v>0.6</v>
      </c>
      <c r="E43" s="12">
        <f>40000*D43</f>
        <v>24000</v>
      </c>
      <c r="F43" s="13">
        <f>E43/C43/D43</f>
        <v>1666.6666666666667</v>
      </c>
      <c r="G43" s="18">
        <v>0.85</v>
      </c>
      <c r="H43" s="19">
        <f>E43*G43*C$30</f>
        <v>24316.8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2.75">
      <c r="A44" s="8"/>
      <c r="E44" s="14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3.5">
      <c r="A45" s="8"/>
      <c r="B45" s="17" t="s">
        <v>45</v>
      </c>
      <c r="C45" s="20">
        <f>SUM(C36:C44)</f>
        <v>246.15</v>
      </c>
      <c r="D45" s="21"/>
      <c r="E45" s="22">
        <f>SUM(E36:E44)</f>
        <v>266225</v>
      </c>
      <c r="F45" s="23">
        <f>SUM(F36:F44)/8</f>
        <v>1594.5430358064448</v>
      </c>
      <c r="G45" s="17"/>
      <c r="H45" s="24">
        <f>SUM(H36:H44)</f>
        <v>247734.6</v>
      </c>
      <c r="I45" s="25" t="s">
        <v>46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2.75">
      <c r="A46" s="8"/>
      <c r="B46" s="17"/>
      <c r="C46" s="17"/>
      <c r="D46" s="17"/>
      <c r="E46" s="17"/>
      <c r="F46" s="17"/>
      <c r="G46" s="17"/>
      <c r="H46" s="22"/>
      <c r="I46" s="2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5">
      <c r="A47" s="7" t="s">
        <v>47</v>
      </c>
      <c r="B47" s="17"/>
      <c r="C47" s="17"/>
      <c r="D47" s="17"/>
      <c r="E47" s="17"/>
      <c r="F47" s="17"/>
      <c r="G47" s="17"/>
      <c r="H47" s="22"/>
      <c r="I47" s="2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5">
      <c r="A48" s="7"/>
      <c r="B48" s="17" t="s">
        <v>48</v>
      </c>
      <c r="C48" s="17"/>
      <c r="D48" s="17"/>
      <c r="E48" s="17"/>
      <c r="F48" s="17"/>
      <c r="G48" s="17"/>
      <c r="H48" s="22"/>
      <c r="I48" s="26" t="s">
        <v>49</v>
      </c>
      <c r="J48" s="27"/>
      <c r="K48" s="27"/>
      <c r="L48" s="27"/>
      <c r="M48" s="28">
        <f>50/74.95*C45</f>
        <v>164.209472981988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5">
      <c r="A49" s="7"/>
      <c r="B49" s="17" t="s">
        <v>50</v>
      </c>
      <c r="C49" s="17"/>
      <c r="D49" s="17"/>
      <c r="E49" s="17"/>
      <c r="F49" s="17"/>
      <c r="G49" s="17"/>
      <c r="H49" s="22"/>
      <c r="I49" s="2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2.75">
      <c r="A50" s="8"/>
      <c r="B50" s="17" t="s">
        <v>51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2.75">
      <c r="A51" s="8"/>
      <c r="B51" s="1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5">
      <c r="A53" s="29" t="s">
        <v>52</v>
      </c>
      <c r="B53" s="27"/>
      <c r="C53" s="2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9" customHeight="1">
      <c r="A54" s="27"/>
      <c r="B54" s="27"/>
      <c r="C54" s="2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2.75">
      <c r="A55" s="26" t="s">
        <v>53</v>
      </c>
      <c r="B55" s="27"/>
      <c r="C55" s="2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2.75">
      <c r="A56" s="27"/>
      <c r="B56" s="26" t="s">
        <v>54</v>
      </c>
      <c r="C56" s="2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2.75">
      <c r="A57" s="27"/>
      <c r="B57" s="26"/>
      <c r="C57" s="27" t="s">
        <v>55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3" ht="12.75">
      <c r="A58" s="26"/>
      <c r="B58" s="27" t="s">
        <v>56</v>
      </c>
      <c r="C58" s="26"/>
    </row>
    <row r="59" spans="1:3" ht="12.75">
      <c r="A59" s="26"/>
      <c r="B59" s="26" t="s">
        <v>57</v>
      </c>
      <c r="C59" s="26"/>
    </row>
    <row r="60" spans="1:7" ht="12.75">
      <c r="A60" s="26"/>
      <c r="B60" s="26"/>
      <c r="C60" s="26" t="s">
        <v>58</v>
      </c>
      <c r="G60" s="30"/>
    </row>
    <row r="61" spans="1:7" ht="12.75">
      <c r="A61" s="26"/>
      <c r="B61" s="26" t="s">
        <v>59</v>
      </c>
      <c r="C61" s="26"/>
      <c r="G61" s="30"/>
    </row>
    <row r="62" spans="1:3" ht="12.75">
      <c r="A62" s="26"/>
      <c r="B62" s="26" t="s">
        <v>60</v>
      </c>
      <c r="C62" s="2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workbookViewId="0" topLeftCell="I2">
      <selection activeCell="U18" sqref="U18"/>
    </sheetView>
  </sheetViews>
  <sheetFormatPr defaultColWidth="12.57421875" defaultRowHeight="12.75"/>
  <cols>
    <col min="1" max="2" width="11.57421875" style="0" customWidth="1"/>
    <col min="3" max="15" width="7.7109375" style="0" customWidth="1"/>
    <col min="16" max="16" width="4.140625" style="0" customWidth="1"/>
    <col min="17" max="17" width="10.140625" style="0" customWidth="1"/>
    <col min="18" max="18" width="11.140625" style="0" customWidth="1"/>
    <col min="19" max="19" width="14.7109375" style="0" customWidth="1"/>
    <col min="20" max="21" width="11.57421875" style="0" customWidth="1"/>
    <col min="22" max="22" width="16.140625" style="0" customWidth="1"/>
    <col min="23" max="16384" width="11.57421875" style="0" customWidth="1"/>
  </cols>
  <sheetData>
    <row r="1" ht="15">
      <c r="A1" s="7" t="s">
        <v>61</v>
      </c>
    </row>
    <row r="2" spans="1:2" ht="15">
      <c r="A2" s="7"/>
      <c r="B2" t="s">
        <v>62</v>
      </c>
    </row>
    <row r="3" spans="1:3" ht="15">
      <c r="A3" s="7"/>
      <c r="C3" t="s">
        <v>63</v>
      </c>
    </row>
    <row r="5" ht="12.75">
      <c r="A5" t="s">
        <v>64</v>
      </c>
    </row>
    <row r="6" ht="12.75">
      <c r="B6" t="s">
        <v>65</v>
      </c>
    </row>
    <row r="7" ht="12.75">
      <c r="C7" t="s">
        <v>66</v>
      </c>
    </row>
    <row r="10" spans="1:18" ht="12.75">
      <c r="A10" t="s">
        <v>67</v>
      </c>
      <c r="R10" t="s">
        <v>68</v>
      </c>
    </row>
    <row r="11" spans="2:19" ht="12.75">
      <c r="B11" s="17" t="s">
        <v>69</v>
      </c>
      <c r="C11" s="31" t="s">
        <v>14</v>
      </c>
      <c r="D11" s="31" t="s">
        <v>15</v>
      </c>
      <c r="E11" s="31" t="s">
        <v>16</v>
      </c>
      <c r="F11" s="31" t="s">
        <v>70</v>
      </c>
      <c r="G11" s="31" t="s">
        <v>71</v>
      </c>
      <c r="H11" s="31" t="s">
        <v>72</v>
      </c>
      <c r="I11" s="31" t="s">
        <v>73</v>
      </c>
      <c r="J11" s="31" t="s">
        <v>74</v>
      </c>
      <c r="K11" s="31" t="s">
        <v>75</v>
      </c>
      <c r="L11" s="31" t="s">
        <v>76</v>
      </c>
      <c r="M11" s="31" t="s">
        <v>77</v>
      </c>
      <c r="N11" s="31" t="s">
        <v>78</v>
      </c>
      <c r="O11" t="s">
        <v>79</v>
      </c>
      <c r="Q11" t="s">
        <v>80</v>
      </c>
      <c r="R11" t="s">
        <v>81</v>
      </c>
      <c r="S11" t="s">
        <v>82</v>
      </c>
    </row>
    <row r="12" spans="2:18" ht="12.75">
      <c r="B12" s="32" t="s">
        <v>81</v>
      </c>
      <c r="C12">
        <v>144</v>
      </c>
      <c r="D12">
        <v>126</v>
      </c>
      <c r="E12">
        <v>124</v>
      </c>
      <c r="F12">
        <v>88</v>
      </c>
      <c r="G12">
        <v>80</v>
      </c>
      <c r="H12">
        <v>72</v>
      </c>
      <c r="I12">
        <v>70</v>
      </c>
      <c r="J12">
        <v>68</v>
      </c>
      <c r="K12">
        <v>88</v>
      </c>
      <c r="L12">
        <v>104</v>
      </c>
      <c r="M12">
        <v>116</v>
      </c>
      <c r="N12">
        <v>120</v>
      </c>
      <c r="O12" s="6">
        <f>SUM(C12:N12)/12</f>
        <v>100</v>
      </c>
      <c r="Q12" t="s">
        <v>83</v>
      </c>
      <c r="R12" s="17">
        <v>27000</v>
      </c>
    </row>
    <row r="13" spans="2:18" ht="12.75">
      <c r="B13">
        <v>2008</v>
      </c>
      <c r="C13">
        <v>192</v>
      </c>
      <c r="D13">
        <v>158</v>
      </c>
      <c r="E13">
        <v>140</v>
      </c>
      <c r="F13">
        <v>48</v>
      </c>
      <c r="G13">
        <v>40</v>
      </c>
      <c r="H13">
        <v>94</v>
      </c>
      <c r="I13">
        <v>58</v>
      </c>
      <c r="J13">
        <v>82</v>
      </c>
      <c r="K13">
        <v>60</v>
      </c>
      <c r="L13">
        <v>120</v>
      </c>
      <c r="M13">
        <v>130</v>
      </c>
      <c r="N13">
        <v>74</v>
      </c>
      <c r="O13" s="6">
        <f>SUM(C13:N13)/12</f>
        <v>99.66666666666667</v>
      </c>
      <c r="Q13" s="33">
        <v>26268</v>
      </c>
      <c r="R13" s="34">
        <f>Q13/O13*O12</f>
        <v>26355.85284280936</v>
      </c>
    </row>
    <row r="14" spans="2:19" ht="12.75">
      <c r="B14">
        <v>2009</v>
      </c>
      <c r="C14">
        <v>104</v>
      </c>
      <c r="D14">
        <v>70</v>
      </c>
      <c r="E14">
        <v>96</v>
      </c>
      <c r="F14">
        <v>54</v>
      </c>
      <c r="G14">
        <v>94</v>
      </c>
      <c r="H14">
        <v>84</v>
      </c>
      <c r="I14">
        <v>66</v>
      </c>
      <c r="J14">
        <v>74</v>
      </c>
      <c r="K14">
        <v>98</v>
      </c>
      <c r="L14">
        <v>102</v>
      </c>
      <c r="M14">
        <v>132</v>
      </c>
      <c r="N14">
        <v>76</v>
      </c>
      <c r="O14" s="6">
        <f>SUM(C14:N14)/12</f>
        <v>87.5</v>
      </c>
      <c r="Q14" s="35">
        <v>24108</v>
      </c>
      <c r="R14" s="4">
        <f>Q14/O14*O12</f>
        <v>27552</v>
      </c>
      <c r="S14" s="10" t="s">
        <v>84</v>
      </c>
    </row>
    <row r="16" spans="1:20" ht="12.75">
      <c r="A16" t="s">
        <v>85</v>
      </c>
      <c r="T16" t="s">
        <v>68</v>
      </c>
    </row>
    <row r="17" spans="2:23" ht="12.75">
      <c r="B17" s="17" t="s">
        <v>69</v>
      </c>
      <c r="C17" s="31" t="s">
        <v>14</v>
      </c>
      <c r="D17" s="31" t="s">
        <v>15</v>
      </c>
      <c r="E17" s="31" t="s">
        <v>16</v>
      </c>
      <c r="F17" s="31" t="s">
        <v>70</v>
      </c>
      <c r="G17" s="31" t="s">
        <v>71</v>
      </c>
      <c r="H17" s="31" t="s">
        <v>72</v>
      </c>
      <c r="I17" s="31" t="s">
        <v>73</v>
      </c>
      <c r="J17" s="31" t="s">
        <v>74</v>
      </c>
      <c r="K17" s="31" t="s">
        <v>75</v>
      </c>
      <c r="L17" s="31" t="s">
        <v>76</v>
      </c>
      <c r="M17" s="31" t="s">
        <v>77</v>
      </c>
      <c r="N17" s="31" t="s">
        <v>78</v>
      </c>
      <c r="O17" t="s">
        <v>79</v>
      </c>
      <c r="Q17" t="s">
        <v>80</v>
      </c>
      <c r="R17" t="s">
        <v>42</v>
      </c>
      <c r="S17" t="s">
        <v>43</v>
      </c>
      <c r="T17" t="s">
        <v>81</v>
      </c>
      <c r="U17" t="s">
        <v>42</v>
      </c>
      <c r="V17" t="s">
        <v>43</v>
      </c>
      <c r="W17" t="s">
        <v>82</v>
      </c>
    </row>
    <row r="18" spans="2:22" ht="12.75">
      <c r="B18" s="32" t="s">
        <v>81</v>
      </c>
      <c r="O18">
        <v>100</v>
      </c>
      <c r="Q18" t="s">
        <v>86</v>
      </c>
      <c r="T18" s="21">
        <v>50100</v>
      </c>
      <c r="U18" s="21">
        <v>33600</v>
      </c>
      <c r="V18" s="21">
        <v>16500</v>
      </c>
    </row>
    <row r="19" spans="2:22" ht="12.75">
      <c r="B19">
        <v>2008</v>
      </c>
      <c r="C19">
        <v>206</v>
      </c>
      <c r="D19">
        <v>122</v>
      </c>
      <c r="E19">
        <v>166</v>
      </c>
      <c r="F19">
        <v>72</v>
      </c>
      <c r="G19">
        <v>56</v>
      </c>
      <c r="H19">
        <v>60</v>
      </c>
      <c r="I19">
        <v>66</v>
      </c>
      <c r="J19">
        <v>76</v>
      </c>
      <c r="K19">
        <v>74</v>
      </c>
      <c r="L19">
        <v>98</v>
      </c>
      <c r="M19">
        <v>116</v>
      </c>
      <c r="N19">
        <v>78</v>
      </c>
      <c r="O19" s="6">
        <f>SUM(C19:N19)/12</f>
        <v>99.16666666666667</v>
      </c>
      <c r="Q19" s="10">
        <v>49807.8</v>
      </c>
      <c r="R19">
        <v>33777</v>
      </c>
      <c r="S19" s="3">
        <f>Q19-R19</f>
        <v>16030.800000000003</v>
      </c>
      <c r="T19" s="13">
        <f>Q19/$O19*$O18</f>
        <v>50226.35294117647</v>
      </c>
      <c r="U19" s="13">
        <f>R19/$O19*$O18</f>
        <v>34060.84033613445</v>
      </c>
      <c r="V19" s="13">
        <f>S19/$O19*$O18</f>
        <v>16165.512605042019</v>
      </c>
    </row>
    <row r="20" spans="2:23" ht="12.75">
      <c r="B20">
        <v>2009</v>
      </c>
      <c r="C20">
        <v>102</v>
      </c>
      <c r="D20">
        <v>78</v>
      </c>
      <c r="E20">
        <v>92</v>
      </c>
      <c r="F20">
        <v>58</v>
      </c>
      <c r="G20">
        <v>88</v>
      </c>
      <c r="H20">
        <v>64</v>
      </c>
      <c r="I20">
        <v>68</v>
      </c>
      <c r="J20">
        <v>56</v>
      </c>
      <c r="K20">
        <v>78</v>
      </c>
      <c r="L20">
        <v>90</v>
      </c>
      <c r="M20">
        <v>154</v>
      </c>
      <c r="N20">
        <v>94</v>
      </c>
      <c r="O20" s="6">
        <f>SUM(C20:N20)/12</f>
        <v>85.16666666666667</v>
      </c>
      <c r="Q20" s="10">
        <v>42605</v>
      </c>
      <c r="R20">
        <v>28262</v>
      </c>
      <c r="S20" s="6">
        <f>Q20-R20</f>
        <v>14343</v>
      </c>
      <c r="T20" s="13">
        <f>Q20/$O20*$O18</f>
        <v>50025.44031311155</v>
      </c>
      <c r="U20" s="13">
        <f>R20/$O20*$O18</f>
        <v>33184.34442270059</v>
      </c>
      <c r="V20" s="13">
        <f>S20/$O20*$O18</f>
        <v>16841.095890410958</v>
      </c>
      <c r="W20" s="10" t="s">
        <v>87</v>
      </c>
    </row>
    <row r="21" ht="12.75">
      <c r="S21" s="10"/>
    </row>
    <row r="22" spans="1:21" ht="12.75">
      <c r="A22" t="s">
        <v>88</v>
      </c>
      <c r="R22" t="s">
        <v>68</v>
      </c>
      <c r="U22" t="s">
        <v>89</v>
      </c>
    </row>
    <row r="23" spans="2:19" ht="12.75">
      <c r="B23" s="17" t="s">
        <v>69</v>
      </c>
      <c r="C23" s="31" t="s">
        <v>14</v>
      </c>
      <c r="D23" s="31" t="s">
        <v>15</v>
      </c>
      <c r="E23" s="31" t="s">
        <v>16</v>
      </c>
      <c r="F23" s="31" t="s">
        <v>70</v>
      </c>
      <c r="G23" s="31" t="s">
        <v>71</v>
      </c>
      <c r="H23" s="31" t="s">
        <v>72</v>
      </c>
      <c r="I23" s="31" t="s">
        <v>73</v>
      </c>
      <c r="J23" s="31" t="s">
        <v>74</v>
      </c>
      <c r="K23" s="31" t="s">
        <v>75</v>
      </c>
      <c r="L23" s="31" t="s">
        <v>76</v>
      </c>
      <c r="M23" s="31" t="s">
        <v>77</v>
      </c>
      <c r="N23" s="31" t="s">
        <v>78</v>
      </c>
      <c r="O23" t="s">
        <v>79</v>
      </c>
      <c r="Q23" t="s">
        <v>80</v>
      </c>
      <c r="R23" t="s">
        <v>81</v>
      </c>
      <c r="S23" t="s">
        <v>82</v>
      </c>
    </row>
    <row r="24" spans="2:18" ht="12.75">
      <c r="B24" s="32" t="s">
        <v>81</v>
      </c>
      <c r="O24">
        <v>100</v>
      </c>
      <c r="Q24" t="s">
        <v>86</v>
      </c>
      <c r="R24" s="17">
        <v>3100</v>
      </c>
    </row>
    <row r="25" spans="2:18" ht="12.75">
      <c r="B25">
        <v>2008</v>
      </c>
      <c r="C25">
        <v>176</v>
      </c>
      <c r="D25">
        <v>164</v>
      </c>
      <c r="E25">
        <v>126</v>
      </c>
      <c r="F25">
        <v>64</v>
      </c>
      <c r="G25">
        <v>50</v>
      </c>
      <c r="H25">
        <v>84</v>
      </c>
      <c r="I25">
        <v>52</v>
      </c>
      <c r="J25">
        <v>96</v>
      </c>
      <c r="K25">
        <v>74</v>
      </c>
      <c r="L25">
        <v>124</v>
      </c>
      <c r="M25">
        <v>168</v>
      </c>
      <c r="N25">
        <v>92</v>
      </c>
      <c r="O25" s="6">
        <f>SUM(C25:N25)/12</f>
        <v>105.83333333333333</v>
      </c>
      <c r="Q25" s="10">
        <v>3244</v>
      </c>
      <c r="R25" s="3">
        <f>Q25/O25*O24</f>
        <v>3065.196850393701</v>
      </c>
    </row>
    <row r="26" spans="2:18" ht="12.75">
      <c r="B26">
        <v>2009</v>
      </c>
      <c r="C26">
        <v>74</v>
      </c>
      <c r="D26">
        <v>102</v>
      </c>
      <c r="E26">
        <v>106</v>
      </c>
      <c r="F26">
        <v>60</v>
      </c>
      <c r="G26">
        <v>94</v>
      </c>
      <c r="H26">
        <v>98</v>
      </c>
      <c r="I26">
        <v>64</v>
      </c>
      <c r="J26">
        <v>74</v>
      </c>
      <c r="K26">
        <v>90</v>
      </c>
      <c r="L26">
        <v>108</v>
      </c>
      <c r="M26">
        <v>124</v>
      </c>
      <c r="N26">
        <v>74</v>
      </c>
      <c r="O26" s="6">
        <f>SUM(C26:N26)/12</f>
        <v>89</v>
      </c>
      <c r="Q26" s="10">
        <v>2772</v>
      </c>
      <c r="R26" s="3">
        <f>Q26/O26*O24</f>
        <v>3114.6067415730336</v>
      </c>
    </row>
    <row r="28" ht="12.75">
      <c r="A28" t="s">
        <v>90</v>
      </c>
    </row>
    <row r="29" ht="12.75">
      <c r="A29" t="s">
        <v>91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P1">
      <selection activeCell="U4" sqref="U4"/>
    </sheetView>
  </sheetViews>
  <sheetFormatPr defaultColWidth="12.57421875" defaultRowHeight="12.75"/>
  <cols>
    <col min="1" max="1" width="13.8515625" style="0" customWidth="1"/>
    <col min="2" max="2" width="11.57421875" style="0" customWidth="1"/>
    <col min="3" max="3" width="11.28125" style="0" customWidth="1"/>
    <col min="4" max="4" width="11.57421875" style="0" customWidth="1"/>
    <col min="5" max="14" width="8.7109375" style="0" customWidth="1"/>
    <col min="15" max="15" width="4.57421875" style="0" customWidth="1"/>
    <col min="16" max="20" width="8.7109375" style="0" customWidth="1"/>
    <col min="21" max="21" width="9.8515625" style="0" customWidth="1"/>
    <col min="22" max="16384" width="11.57421875" style="0" customWidth="1"/>
  </cols>
  <sheetData>
    <row r="1" spans="1:5" ht="15">
      <c r="A1" s="36" t="s">
        <v>92</v>
      </c>
      <c r="E1" t="s">
        <v>93</v>
      </c>
    </row>
    <row r="2" ht="12.75">
      <c r="V2" t="s">
        <v>94</v>
      </c>
    </row>
    <row r="3" ht="12.75">
      <c r="L3" t="s">
        <v>95</v>
      </c>
    </row>
    <row r="4" spans="1:23" ht="12.75">
      <c r="A4" s="37" t="s">
        <v>96</v>
      </c>
      <c r="E4" s="38">
        <v>40176</v>
      </c>
      <c r="F4" s="38">
        <v>40182</v>
      </c>
      <c r="G4" s="38">
        <v>40196</v>
      </c>
      <c r="H4" s="38">
        <v>40210</v>
      </c>
      <c r="I4" s="38">
        <v>40218</v>
      </c>
      <c r="J4" s="38">
        <v>40224</v>
      </c>
      <c r="K4" s="38">
        <v>40231</v>
      </c>
      <c r="L4" s="38">
        <v>40238</v>
      </c>
      <c r="M4" s="38">
        <v>40245</v>
      </c>
      <c r="N4" s="38">
        <v>40252</v>
      </c>
      <c r="O4" s="38"/>
      <c r="P4" s="38">
        <v>40274</v>
      </c>
      <c r="Q4" s="38">
        <v>40280</v>
      </c>
      <c r="R4" s="38">
        <v>40287</v>
      </c>
      <c r="S4" s="38">
        <v>40294</v>
      </c>
      <c r="T4" s="38"/>
      <c r="U4" s="39" t="s">
        <v>97</v>
      </c>
      <c r="V4" t="s">
        <v>83</v>
      </c>
      <c r="W4" t="s">
        <v>98</v>
      </c>
    </row>
    <row r="5" spans="4:23" ht="12.75">
      <c r="D5" s="40" t="s">
        <v>99</v>
      </c>
      <c r="E5">
        <v>8</v>
      </c>
      <c r="F5">
        <v>11</v>
      </c>
      <c r="G5">
        <v>13</v>
      </c>
      <c r="H5">
        <v>15</v>
      </c>
      <c r="I5">
        <v>19</v>
      </c>
      <c r="J5">
        <v>22</v>
      </c>
      <c r="K5">
        <v>25</v>
      </c>
      <c r="L5">
        <v>26</v>
      </c>
      <c r="M5">
        <v>28</v>
      </c>
      <c r="N5">
        <v>29</v>
      </c>
      <c r="P5">
        <v>31</v>
      </c>
      <c r="Q5">
        <v>31</v>
      </c>
      <c r="R5">
        <v>33</v>
      </c>
      <c r="S5">
        <v>35</v>
      </c>
      <c r="V5" s="6">
        <f>892/360</f>
        <v>2.477777777777778</v>
      </c>
      <c r="W5" s="6"/>
    </row>
    <row r="6" spans="4:23" ht="12.75">
      <c r="D6" s="40" t="s">
        <v>100</v>
      </c>
      <c r="L6">
        <v>1</v>
      </c>
      <c r="M6">
        <v>3</v>
      </c>
      <c r="N6">
        <v>5</v>
      </c>
      <c r="P6">
        <v>6</v>
      </c>
      <c r="Q6">
        <v>7</v>
      </c>
      <c r="R6">
        <v>7</v>
      </c>
      <c r="S6">
        <v>7</v>
      </c>
      <c r="V6" s="6">
        <f>540*450</f>
        <v>243000</v>
      </c>
      <c r="W6" s="6"/>
    </row>
    <row r="7" spans="3:7" ht="12.75">
      <c r="C7" s="41" t="s">
        <v>33</v>
      </c>
      <c r="D7" t="s">
        <v>101</v>
      </c>
      <c r="E7" s="6"/>
      <c r="F7" s="6"/>
      <c r="G7" s="6"/>
    </row>
    <row r="8" spans="1:24" ht="12.75">
      <c r="A8" s="15" t="s">
        <v>102</v>
      </c>
      <c r="D8" s="17" t="s">
        <v>103</v>
      </c>
      <c r="E8" s="6">
        <f>E5*31/2</f>
        <v>124</v>
      </c>
      <c r="F8" s="6">
        <f>(F5-E5)*28/2</f>
        <v>42</v>
      </c>
      <c r="G8" s="6">
        <f>2*13/2</f>
        <v>13</v>
      </c>
      <c r="H8" s="6"/>
      <c r="I8" s="6"/>
      <c r="J8" s="6"/>
      <c r="K8" s="6"/>
      <c r="U8" s="3">
        <f>SUM(E8:S8)</f>
        <v>179</v>
      </c>
      <c r="V8" s="4">
        <v>892</v>
      </c>
      <c r="W8" s="3">
        <f>V8*0.18</f>
        <v>160.56</v>
      </c>
      <c r="X8" t="s">
        <v>103</v>
      </c>
    </row>
    <row r="9" spans="1:24" ht="12.75">
      <c r="A9" s="15" t="s">
        <v>104</v>
      </c>
      <c r="D9" s="17" t="s">
        <v>105</v>
      </c>
      <c r="H9" s="6">
        <f>H5*28/2</f>
        <v>210</v>
      </c>
      <c r="I9" s="6">
        <f>4*19/2</f>
        <v>38</v>
      </c>
      <c r="J9" s="6">
        <f>3*14/2</f>
        <v>21</v>
      </c>
      <c r="K9" s="6">
        <f>3*7/2</f>
        <v>10.5</v>
      </c>
      <c r="L9" s="3"/>
      <c r="M9" s="3"/>
      <c r="N9" s="3"/>
      <c r="O9" s="3"/>
      <c r="P9" s="3"/>
      <c r="Q9" s="3"/>
      <c r="U9" s="3">
        <f>SUM(E9:S9)</f>
        <v>279.5</v>
      </c>
      <c r="V9" s="3">
        <f>V8/U8*U9</f>
        <v>1392.8156424581005</v>
      </c>
      <c r="W9" s="3">
        <f>V9*0.18</f>
        <v>250.70681564245808</v>
      </c>
      <c r="X9" t="s">
        <v>105</v>
      </c>
    </row>
    <row r="10" spans="1:24" ht="12.75">
      <c r="A10" s="15" t="s">
        <v>106</v>
      </c>
      <c r="D10" s="17" t="s">
        <v>107</v>
      </c>
      <c r="L10" s="3">
        <f>(L5+1.7*L6)*31/2</f>
        <v>429.34999999999997</v>
      </c>
      <c r="M10" s="6">
        <f>((M5-L5)+1.7*(M6-L6))*24/2</f>
        <v>64.80000000000001</v>
      </c>
      <c r="N10" s="6">
        <f>((N5-M5)+1.7*(N6-M6))*17</f>
        <v>74.80000000000001</v>
      </c>
      <c r="U10" s="3">
        <f>SUM(E10:S10)</f>
        <v>568.95</v>
      </c>
      <c r="X10" t="s">
        <v>107</v>
      </c>
    </row>
    <row r="11" spans="1:24" ht="12.75">
      <c r="A11" s="15" t="s">
        <v>108</v>
      </c>
      <c r="D11" s="17" t="s">
        <v>109</v>
      </c>
      <c r="N11" s="3">
        <f>(N5+1.7*N6)*30/2</f>
        <v>562.5</v>
      </c>
      <c r="O11" s="3"/>
      <c r="P11" s="3">
        <f>((P5-N5)+1.7*(P6-N6))*23/2</f>
        <v>42.550000000000004</v>
      </c>
      <c r="Q11" s="3">
        <f>((Q5-P5)+1.7*(Q6-P6))*23/2</f>
        <v>19.55</v>
      </c>
      <c r="R11" s="3">
        <f>((R5-Q5)+1.7*(R6-Q6))*11/2</f>
        <v>11</v>
      </c>
      <c r="S11" s="3">
        <f>((S5-R5)+1.7*(S6-R6))*5/2</f>
        <v>5</v>
      </c>
      <c r="T11" s="3"/>
      <c r="U11" s="3">
        <f>SUM(E11:S11)</f>
        <v>640.6</v>
      </c>
      <c r="X11" t="s">
        <v>109</v>
      </c>
    </row>
    <row r="12" spans="4:24" ht="12.75">
      <c r="D12" s="17" t="s">
        <v>71</v>
      </c>
      <c r="X12" t="s">
        <v>71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5"/>
  <sheetViews>
    <sheetView workbookViewId="0" topLeftCell="A1">
      <selection activeCell="AQ32" sqref="AQ32"/>
    </sheetView>
  </sheetViews>
  <sheetFormatPr defaultColWidth="9.140625" defaultRowHeight="12.75"/>
  <cols>
    <col min="1" max="1" width="8.28125" style="0" customWidth="1"/>
    <col min="2" max="2" width="4.421875" style="7" customWidth="1"/>
    <col min="3" max="3" width="15.140625" style="0" customWidth="1"/>
    <col min="4" max="5" width="6.00390625" style="10" customWidth="1"/>
    <col min="6" max="6" width="3.7109375" style="0" customWidth="1"/>
    <col min="11" max="11" width="2.8515625" style="0" customWidth="1"/>
    <col min="18" max="18" width="2.7109375" style="0" customWidth="1"/>
    <col min="23" max="23" width="3.140625" style="0" customWidth="1"/>
  </cols>
  <sheetData>
    <row r="1" ht="17.25">
      <c r="A1" s="1" t="s">
        <v>110</v>
      </c>
    </row>
    <row r="2" spans="7:24" ht="15">
      <c r="G2">
        <v>2007</v>
      </c>
      <c r="L2" t="s">
        <v>111</v>
      </c>
      <c r="M2">
        <v>2008</v>
      </c>
      <c r="N2" t="s">
        <v>112</v>
      </c>
      <c r="O2" t="s">
        <v>113</v>
      </c>
      <c r="S2">
        <v>2009</v>
      </c>
      <c r="X2">
        <v>2010</v>
      </c>
    </row>
    <row r="3" spans="1:27" ht="15">
      <c r="A3" s="4" t="s">
        <v>114</v>
      </c>
      <c r="D3" s="10" t="s">
        <v>36</v>
      </c>
      <c r="E3" s="10" t="s">
        <v>37</v>
      </c>
      <c r="G3" t="s">
        <v>36</v>
      </c>
      <c r="H3" t="s">
        <v>115</v>
      </c>
      <c r="I3" t="s">
        <v>116</v>
      </c>
      <c r="J3" t="s">
        <v>117</v>
      </c>
      <c r="M3" t="s">
        <v>36</v>
      </c>
      <c r="N3" t="s">
        <v>115</v>
      </c>
      <c r="O3" t="s">
        <v>115</v>
      </c>
      <c r="P3" t="s">
        <v>118</v>
      </c>
      <c r="Q3" t="s">
        <v>119</v>
      </c>
      <c r="S3" t="s">
        <v>36</v>
      </c>
      <c r="T3" t="s">
        <v>115</v>
      </c>
      <c r="U3" t="s">
        <v>118</v>
      </c>
      <c r="V3" t="s">
        <v>119</v>
      </c>
      <c r="X3" t="s">
        <v>36</v>
      </c>
      <c r="Y3" t="s">
        <v>115</v>
      </c>
      <c r="Z3" t="s">
        <v>118</v>
      </c>
      <c r="AA3" t="s">
        <v>119</v>
      </c>
    </row>
    <row r="4" ht="15" customHeight="1">
      <c r="A4" t="s">
        <v>120</v>
      </c>
    </row>
    <row r="5" spans="2:21" ht="15">
      <c r="B5" s="7" t="s">
        <v>18</v>
      </c>
      <c r="G5" s="42">
        <v>15.45</v>
      </c>
      <c r="H5" s="43">
        <f>G5*2000</f>
        <v>30900.000000000004</v>
      </c>
      <c r="I5" s="43">
        <v>0.6</v>
      </c>
      <c r="J5" s="43">
        <f>H5*I5/1000</f>
        <v>18.54</v>
      </c>
      <c r="K5" s="42"/>
      <c r="L5" s="42"/>
      <c r="M5" s="42">
        <v>15.45</v>
      </c>
      <c r="N5" s="44">
        <v>19013</v>
      </c>
      <c r="O5" s="44">
        <v>26</v>
      </c>
      <c r="P5" s="42">
        <v>0.52</v>
      </c>
      <c r="Q5" s="6">
        <f>P5*O5</f>
        <v>13.52</v>
      </c>
      <c r="S5" s="42">
        <v>15.45</v>
      </c>
      <c r="U5" s="42">
        <v>0.56</v>
      </c>
    </row>
    <row r="6" ht="9.75" customHeight="1"/>
    <row r="7" spans="2:19" ht="15">
      <c r="B7" s="7" t="s">
        <v>19</v>
      </c>
      <c r="G7" s="45">
        <f>SUM(G8:G10)</f>
        <v>26.38125</v>
      </c>
      <c r="H7" s="46">
        <f>SUM(H8:H10)</f>
        <v>38489</v>
      </c>
      <c r="I7" s="43"/>
      <c r="J7" s="43"/>
      <c r="K7" s="42"/>
      <c r="L7" s="42"/>
      <c r="M7" s="47">
        <f>SUM(M8:M10)</f>
        <v>30.150000000000002</v>
      </c>
      <c r="N7" s="44">
        <v>37184</v>
      </c>
      <c r="O7" s="44">
        <v>50</v>
      </c>
      <c r="P7" s="42">
        <v>0.664</v>
      </c>
      <c r="S7" s="47">
        <f>SUM(S8:S10)</f>
        <v>30.150000000000002</v>
      </c>
    </row>
    <row r="8" spans="1:19" ht="15">
      <c r="A8" t="s">
        <v>121</v>
      </c>
      <c r="C8" s="2" t="s">
        <v>122</v>
      </c>
      <c r="D8" s="10">
        <v>7.5</v>
      </c>
      <c r="E8" s="48">
        <v>0.5</v>
      </c>
      <c r="G8" s="49">
        <f>D8*21/24/2</f>
        <v>3.28125</v>
      </c>
      <c r="H8" s="50">
        <v>7977</v>
      </c>
      <c r="M8" s="6">
        <f>7.5/2</f>
        <v>3.75</v>
      </c>
      <c r="N8" s="14">
        <v>6758</v>
      </c>
      <c r="O8" s="14"/>
      <c r="S8" s="6">
        <f>7.5/2</f>
        <v>3.75</v>
      </c>
    </row>
    <row r="9" spans="1:19" ht="15">
      <c r="A9" t="s">
        <v>121</v>
      </c>
      <c r="C9" s="2" t="s">
        <v>123</v>
      </c>
      <c r="D9" s="10">
        <v>6</v>
      </c>
      <c r="E9" s="48">
        <v>0.5</v>
      </c>
      <c r="G9" s="49">
        <f>D9*21/24/2</f>
        <v>2.625</v>
      </c>
      <c r="H9" s="14">
        <v>5558</v>
      </c>
      <c r="M9">
        <v>3</v>
      </c>
      <c r="N9" s="14">
        <v>4738</v>
      </c>
      <c r="O9" s="14"/>
      <c r="S9">
        <v>3</v>
      </c>
    </row>
    <row r="10" spans="1:19" ht="15">
      <c r="A10" t="s">
        <v>121</v>
      </c>
      <c r="C10" s="2" t="s">
        <v>124</v>
      </c>
      <c r="D10" s="10">
        <v>23.4</v>
      </c>
      <c r="E10" s="10">
        <v>1</v>
      </c>
      <c r="G10" s="49">
        <f>D10*21/24</f>
        <v>20.475</v>
      </c>
      <c r="H10" s="14">
        <v>24954</v>
      </c>
      <c r="M10">
        <v>23.4</v>
      </c>
      <c r="N10" s="14">
        <v>25689</v>
      </c>
      <c r="O10" s="14"/>
      <c r="S10">
        <v>23.4</v>
      </c>
    </row>
    <row r="11" spans="14:15" ht="12" customHeight="1">
      <c r="N11" s="14"/>
      <c r="O11" s="14"/>
    </row>
    <row r="12" spans="2:21" ht="15">
      <c r="B12" s="7" t="s">
        <v>20</v>
      </c>
      <c r="G12" s="42"/>
      <c r="H12" s="43"/>
      <c r="I12" s="43"/>
      <c r="J12" s="43"/>
      <c r="K12" s="42"/>
      <c r="L12" s="42"/>
      <c r="M12" s="42"/>
      <c r="N12" s="44"/>
      <c r="O12" s="44"/>
      <c r="P12" s="42">
        <v>0.866</v>
      </c>
      <c r="U12" s="43">
        <v>0.95</v>
      </c>
    </row>
    <row r="13" spans="1:15" ht="15">
      <c r="A13">
        <v>2006</v>
      </c>
      <c r="C13" s="17" t="s">
        <v>125</v>
      </c>
      <c r="D13" s="10">
        <v>1.6</v>
      </c>
      <c r="E13" s="10">
        <v>1</v>
      </c>
      <c r="G13">
        <v>1.6</v>
      </c>
      <c r="H13" s="14">
        <v>3226</v>
      </c>
      <c r="N13" s="50">
        <v>2200</v>
      </c>
      <c r="O13" s="50">
        <v>3</v>
      </c>
    </row>
    <row r="14" spans="1:5" ht="15">
      <c r="A14">
        <v>2010</v>
      </c>
      <c r="B14" s="7" t="s">
        <v>126</v>
      </c>
      <c r="C14" s="2" t="s">
        <v>127</v>
      </c>
      <c r="D14" s="10">
        <v>75</v>
      </c>
      <c r="E14" s="10">
        <v>1</v>
      </c>
    </row>
    <row r="15" spans="1:5" ht="15">
      <c r="A15" t="s">
        <v>128</v>
      </c>
      <c r="B15" s="7" t="s">
        <v>126</v>
      </c>
      <c r="C15" s="4" t="s">
        <v>129</v>
      </c>
      <c r="D15" s="51">
        <v>24</v>
      </c>
      <c r="E15" s="10">
        <v>1</v>
      </c>
    </row>
    <row r="16" spans="1:5" ht="15">
      <c r="A16" t="s">
        <v>128</v>
      </c>
      <c r="B16" s="7" t="s">
        <v>126</v>
      </c>
      <c r="C16" s="4" t="s">
        <v>130</v>
      </c>
      <c r="D16" s="51">
        <v>20</v>
      </c>
      <c r="E16" s="10">
        <v>1</v>
      </c>
    </row>
    <row r="17" spans="1:5" ht="15">
      <c r="A17" t="s">
        <v>131</v>
      </c>
      <c r="B17" s="7" t="s">
        <v>126</v>
      </c>
      <c r="C17" s="2" t="s">
        <v>132</v>
      </c>
      <c r="D17" s="51">
        <v>16</v>
      </c>
      <c r="E17" s="10">
        <v>1</v>
      </c>
    </row>
    <row r="18" spans="1:5" ht="15">
      <c r="A18">
        <v>2010</v>
      </c>
      <c r="B18" s="7" t="s">
        <v>126</v>
      </c>
      <c r="C18" s="2" t="s">
        <v>133</v>
      </c>
      <c r="D18" s="51">
        <v>32.2</v>
      </c>
      <c r="E18" s="48">
        <v>0.5</v>
      </c>
    </row>
    <row r="19" spans="2:5" ht="15">
      <c r="B19" s="7" t="s">
        <v>126</v>
      </c>
      <c r="C19" s="2" t="s">
        <v>134</v>
      </c>
      <c r="D19" s="51">
        <v>42</v>
      </c>
      <c r="E19" s="10">
        <v>1</v>
      </c>
    </row>
    <row r="20" spans="1:5" ht="15">
      <c r="A20">
        <v>2010</v>
      </c>
      <c r="B20" s="7" t="s">
        <v>126</v>
      </c>
      <c r="C20" s="2" t="s">
        <v>135</v>
      </c>
      <c r="D20" s="51">
        <v>12.5</v>
      </c>
      <c r="E20" s="10">
        <v>1</v>
      </c>
    </row>
    <row r="21" spans="3:5" ht="15">
      <c r="C21" s="2" t="s">
        <v>136</v>
      </c>
      <c r="D21" s="51">
        <v>99</v>
      </c>
      <c r="E21" s="10">
        <v>1</v>
      </c>
    </row>
    <row r="22" ht="15">
      <c r="D22" s="41">
        <f>SUM(D13:D21)</f>
        <v>322.3</v>
      </c>
    </row>
    <row r="24" spans="2:21" ht="15">
      <c r="B24" s="7" t="s">
        <v>30</v>
      </c>
      <c r="G24" s="42"/>
      <c r="H24" s="43"/>
      <c r="I24" s="43"/>
      <c r="J24" s="43"/>
      <c r="K24" s="42"/>
      <c r="L24" s="42"/>
      <c r="M24" s="42"/>
      <c r="N24" s="44">
        <v>23276</v>
      </c>
      <c r="O24" s="44">
        <v>24</v>
      </c>
      <c r="P24" s="42">
        <v>1.416</v>
      </c>
      <c r="U24">
        <v>0.664</v>
      </c>
    </row>
    <row r="25" spans="1:20" ht="15">
      <c r="A25" t="s">
        <v>137</v>
      </c>
      <c r="B25" s="7" t="s">
        <v>126</v>
      </c>
      <c r="C25" s="2" t="s">
        <v>21</v>
      </c>
      <c r="D25" s="10">
        <v>21</v>
      </c>
      <c r="E25" s="10">
        <v>1</v>
      </c>
      <c r="G25" s="49">
        <f>D25/24*11</f>
        <v>9.625</v>
      </c>
      <c r="H25" s="14">
        <v>9634</v>
      </c>
      <c r="N25" s="50">
        <v>23276</v>
      </c>
      <c r="O25" s="50">
        <v>24</v>
      </c>
      <c r="P25">
        <v>1.416</v>
      </c>
      <c r="T25">
        <v>30000</v>
      </c>
    </row>
    <row r="26" spans="1:12" ht="15">
      <c r="A26" t="s">
        <v>138</v>
      </c>
      <c r="B26" s="7" t="s">
        <v>126</v>
      </c>
      <c r="C26" t="s">
        <v>22</v>
      </c>
      <c r="D26" s="10">
        <v>98.9</v>
      </c>
      <c r="E26" s="10">
        <v>1</v>
      </c>
      <c r="L26" s="52">
        <v>534.574</v>
      </c>
    </row>
    <row r="27" spans="1:12" ht="15">
      <c r="A27" t="s">
        <v>139</v>
      </c>
      <c r="B27" s="7" t="s">
        <v>126</v>
      </c>
      <c r="C27" t="s">
        <v>23</v>
      </c>
      <c r="D27" s="10">
        <v>48.3</v>
      </c>
      <c r="E27" s="48">
        <v>0.85</v>
      </c>
      <c r="L27" s="52">
        <v>329.643</v>
      </c>
    </row>
    <row r="28" spans="1:12" ht="15">
      <c r="A28">
        <v>2009</v>
      </c>
      <c r="B28" s="7" t="s">
        <v>126</v>
      </c>
      <c r="C28" t="s">
        <v>44</v>
      </c>
      <c r="D28" s="10">
        <v>24</v>
      </c>
      <c r="E28" s="10">
        <v>1</v>
      </c>
      <c r="L28">
        <v>114.257</v>
      </c>
    </row>
    <row r="29" spans="1:5" ht="15">
      <c r="A29" t="s">
        <v>131</v>
      </c>
      <c r="B29" s="7" t="s">
        <v>126</v>
      </c>
      <c r="C29" s="53" t="s">
        <v>140</v>
      </c>
      <c r="D29" s="54">
        <v>13.5</v>
      </c>
      <c r="E29" s="54">
        <v>1</v>
      </c>
    </row>
    <row r="30" spans="1:5" ht="15">
      <c r="A30">
        <v>2009</v>
      </c>
      <c r="B30" s="7" t="s">
        <v>126</v>
      </c>
      <c r="C30" s="53" t="s">
        <v>141</v>
      </c>
      <c r="D30" s="54">
        <v>70</v>
      </c>
      <c r="E30" s="55">
        <v>0.75</v>
      </c>
    </row>
    <row r="31" spans="1:5" ht="15">
      <c r="A31" t="s">
        <v>142</v>
      </c>
      <c r="B31" s="7" t="s">
        <v>126</v>
      </c>
      <c r="C31" s="53" t="s">
        <v>143</v>
      </c>
      <c r="D31" s="54">
        <v>14</v>
      </c>
      <c r="E31" s="54">
        <v>1</v>
      </c>
    </row>
    <row r="32" spans="1:5" ht="15">
      <c r="A32">
        <v>2010</v>
      </c>
      <c r="B32" s="7" t="s">
        <v>126</v>
      </c>
      <c r="C32" s="53" t="s">
        <v>144</v>
      </c>
      <c r="D32" s="54">
        <v>52</v>
      </c>
      <c r="E32" s="55">
        <v>0.75</v>
      </c>
    </row>
    <row r="33" spans="1:5" ht="15">
      <c r="A33">
        <v>2011</v>
      </c>
      <c r="B33" s="7" t="s">
        <v>126</v>
      </c>
      <c r="C33" s="53" t="s">
        <v>145</v>
      </c>
      <c r="D33" s="54">
        <v>34</v>
      </c>
      <c r="E33" s="55">
        <v>0.75</v>
      </c>
    </row>
    <row r="34" spans="1:15" ht="15">
      <c r="A34">
        <v>2011</v>
      </c>
      <c r="B34" s="7" t="s">
        <v>126</v>
      </c>
      <c r="C34" s="53" t="s">
        <v>146</v>
      </c>
      <c r="D34" s="54">
        <v>140</v>
      </c>
      <c r="E34" s="54">
        <v>1</v>
      </c>
      <c r="H34" s="43"/>
      <c r="I34" s="43"/>
      <c r="J34" s="43"/>
      <c r="K34" s="42"/>
      <c r="L34" s="42"/>
      <c r="M34" s="42"/>
      <c r="N34" s="44"/>
      <c r="O34" s="44"/>
    </row>
    <row r="35" spans="2:5" ht="12.75">
      <c r="B35"/>
      <c r="D35"/>
      <c r="E35"/>
    </row>
    <row r="36" spans="1:5" ht="15">
      <c r="A36">
        <v>2010</v>
      </c>
      <c r="B36" s="7" t="s">
        <v>126</v>
      </c>
      <c r="C36" s="53" t="s">
        <v>147</v>
      </c>
      <c r="D36" s="54">
        <v>32</v>
      </c>
      <c r="E36" s="55">
        <v>0.75</v>
      </c>
    </row>
    <row r="37" spans="1:5" ht="15">
      <c r="A37">
        <v>2011</v>
      </c>
      <c r="B37" s="7" t="s">
        <v>126</v>
      </c>
      <c r="C37" s="53" t="s">
        <v>148</v>
      </c>
      <c r="D37" s="54">
        <v>92.5</v>
      </c>
      <c r="E37" s="54">
        <v>1</v>
      </c>
    </row>
    <row r="38" spans="1:5" ht="15">
      <c r="A38">
        <v>2010</v>
      </c>
      <c r="B38" s="7" t="s">
        <v>126</v>
      </c>
      <c r="C38" s="53" t="s">
        <v>149</v>
      </c>
      <c r="D38" s="54">
        <v>14</v>
      </c>
      <c r="E38" s="54">
        <v>1</v>
      </c>
    </row>
    <row r="39" spans="1:5" ht="15">
      <c r="A39">
        <v>2011</v>
      </c>
      <c r="B39" s="7" t="s">
        <v>126</v>
      </c>
      <c r="C39" s="53" t="s">
        <v>150</v>
      </c>
      <c r="D39" s="54">
        <v>60</v>
      </c>
      <c r="E39" s="54">
        <v>1</v>
      </c>
    </row>
    <row r="40" spans="1:5" ht="15">
      <c r="A40">
        <v>2010</v>
      </c>
      <c r="B40" s="7" t="s">
        <v>126</v>
      </c>
      <c r="C40" s="56" t="s">
        <v>151</v>
      </c>
      <c r="D40" s="57">
        <v>23</v>
      </c>
      <c r="E40" s="57">
        <v>1</v>
      </c>
    </row>
    <row r="41" ht="15">
      <c r="D41" s="41">
        <f>SUM(D29:D40)</f>
        <v>545</v>
      </c>
    </row>
    <row r="42" ht="15">
      <c r="B42" s="7" t="s">
        <v>152</v>
      </c>
    </row>
    <row r="43" spans="3:5" ht="15">
      <c r="C43" t="s">
        <v>153</v>
      </c>
      <c r="D43" s="10">
        <v>30</v>
      </c>
      <c r="E43" s="58">
        <v>0.115</v>
      </c>
    </row>
    <row r="52" spans="5:8" ht="15">
      <c r="E52" s="10" t="s">
        <v>154</v>
      </c>
      <c r="G52" t="s">
        <v>155</v>
      </c>
      <c r="H52" t="s">
        <v>156</v>
      </c>
    </row>
    <row r="53" spans="1:7" ht="15">
      <c r="A53" t="s">
        <v>157</v>
      </c>
      <c r="C53" t="s">
        <v>158</v>
      </c>
      <c r="D53" s="10" t="s">
        <v>159</v>
      </c>
      <c r="E53" s="10">
        <v>-100</v>
      </c>
      <c r="G53" s="6">
        <f>G52-E53</f>
        <v>100</v>
      </c>
    </row>
    <row r="54" spans="1:7" ht="15">
      <c r="A54" t="s">
        <v>160</v>
      </c>
      <c r="C54" t="s">
        <v>161</v>
      </c>
      <c r="E54" s="10">
        <v>-10</v>
      </c>
      <c r="G54" s="6">
        <f>G53-E54</f>
        <v>110</v>
      </c>
    </row>
    <row r="55" spans="3:7" ht="15">
      <c r="C55" t="s">
        <v>162</v>
      </c>
      <c r="D55" s="10" t="s">
        <v>163</v>
      </c>
      <c r="E55" s="10">
        <v>60</v>
      </c>
      <c r="G55" s="6">
        <f>G54-E55</f>
        <v>50</v>
      </c>
    </row>
    <row r="56" spans="3:7" ht="15">
      <c r="C56" t="s">
        <v>164</v>
      </c>
      <c r="D56" s="48">
        <v>0.8</v>
      </c>
      <c r="E56" s="10">
        <f>D56*60</f>
        <v>48</v>
      </c>
      <c r="G56" s="6">
        <f>G55-E56</f>
        <v>2</v>
      </c>
    </row>
    <row r="57" spans="1:7" ht="15">
      <c r="A57" t="s">
        <v>165</v>
      </c>
      <c r="C57" t="s">
        <v>166</v>
      </c>
      <c r="E57" s="10">
        <v>-500</v>
      </c>
      <c r="G57" s="6">
        <f>G56-E57</f>
        <v>502</v>
      </c>
    </row>
    <row r="58" spans="3:8" ht="15">
      <c r="C58" t="s">
        <v>164</v>
      </c>
      <c r="D58" s="48">
        <v>0.8</v>
      </c>
      <c r="E58" s="10">
        <f>D58*500</f>
        <v>400</v>
      </c>
      <c r="G58" s="6">
        <f>G57-E58</f>
        <v>102</v>
      </c>
      <c r="H58">
        <v>450</v>
      </c>
    </row>
    <row r="59" spans="3:7" ht="15">
      <c r="C59" t="s">
        <v>167</v>
      </c>
      <c r="D59" s="48"/>
      <c r="E59" s="10">
        <v>-10</v>
      </c>
      <c r="G59" s="6">
        <f>G58-E59</f>
        <v>112</v>
      </c>
    </row>
    <row r="60" spans="1:7" ht="15">
      <c r="A60" t="s">
        <v>168</v>
      </c>
      <c r="C60" t="s">
        <v>169</v>
      </c>
      <c r="E60" s="10">
        <v>100</v>
      </c>
      <c r="G60" s="6">
        <f>G59-E60</f>
        <v>12</v>
      </c>
    </row>
    <row r="61" spans="3:7" ht="15">
      <c r="C61" t="s">
        <v>167</v>
      </c>
      <c r="E61" s="10">
        <f>-45</f>
        <v>-45</v>
      </c>
      <c r="G61" s="6">
        <f>G60-E61</f>
        <v>57</v>
      </c>
    </row>
    <row r="62" spans="1:7" ht="15">
      <c r="A62" t="s">
        <v>170</v>
      </c>
      <c r="C62" t="s">
        <v>169</v>
      </c>
      <c r="E62" s="10">
        <v>100</v>
      </c>
      <c r="G62" s="6">
        <f>G61-E62</f>
        <v>-43</v>
      </c>
    </row>
    <row r="63" spans="3:7" ht="15">
      <c r="C63" t="s">
        <v>167</v>
      </c>
      <c r="E63" s="10">
        <f>-45</f>
        <v>-45</v>
      </c>
      <c r="G63" s="6">
        <f>G62-E63</f>
        <v>2</v>
      </c>
    </row>
    <row r="64" spans="1:7" ht="15">
      <c r="A64" t="s">
        <v>171</v>
      </c>
      <c r="C64" t="s">
        <v>169</v>
      </c>
      <c r="E64" s="10">
        <v>100</v>
      </c>
      <c r="G64" s="6">
        <f>G63-E64</f>
        <v>-98</v>
      </c>
    </row>
    <row r="65" spans="3:7" ht="15">
      <c r="C65" t="s">
        <v>167</v>
      </c>
      <c r="E65" s="10">
        <f>-45</f>
        <v>-45</v>
      </c>
      <c r="G65" s="6">
        <f>G64-E65</f>
        <v>-53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C3" sqref="C3"/>
    </sheetView>
  </sheetViews>
  <sheetFormatPr defaultColWidth="9.140625" defaultRowHeight="12.75"/>
  <cols>
    <col min="1" max="1" width="10.7109375" style="0" customWidth="1"/>
    <col min="2" max="2" width="24.28125" style="0" customWidth="1"/>
  </cols>
  <sheetData>
    <row r="1" ht="19.5">
      <c r="A1" s="59" t="s">
        <v>172</v>
      </c>
    </row>
    <row r="4" ht="17.25">
      <c r="A4" s="1" t="s">
        <v>173</v>
      </c>
    </row>
    <row r="5" spans="1:6" ht="10.5" customHeight="1">
      <c r="A5" s="40" t="s">
        <v>35</v>
      </c>
      <c r="B5" s="40" t="s">
        <v>174</v>
      </c>
      <c r="E5" t="s">
        <v>175</v>
      </c>
      <c r="F5" s="40" t="s">
        <v>176</v>
      </c>
    </row>
    <row r="6" spans="1:6" ht="19.5" customHeight="1">
      <c r="A6" t="s">
        <v>177</v>
      </c>
      <c r="B6" s="10" t="s">
        <v>178</v>
      </c>
      <c r="D6" t="s">
        <v>179</v>
      </c>
      <c r="E6">
        <v>1.3</v>
      </c>
      <c r="F6" t="s">
        <v>180</v>
      </c>
    </row>
    <row r="7" ht="12.75">
      <c r="B7" s="10"/>
    </row>
    <row r="8" spans="1:6" ht="23.25" customHeight="1">
      <c r="A8" t="s">
        <v>181</v>
      </c>
      <c r="B8" s="10" t="s">
        <v>182</v>
      </c>
      <c r="E8">
        <v>3.3</v>
      </c>
      <c r="F8" t="s">
        <v>183</v>
      </c>
    </row>
    <row r="10" spans="1:6" ht="12.75">
      <c r="A10" t="s">
        <v>184</v>
      </c>
      <c r="B10" s="10" t="s">
        <v>185</v>
      </c>
      <c r="E10">
        <v>0.1</v>
      </c>
      <c r="F10" t="s">
        <v>186</v>
      </c>
    </row>
    <row r="11" spans="2:5" ht="12.75">
      <c r="B11" s="10" t="s">
        <v>187</v>
      </c>
      <c r="E11">
        <v>0.03</v>
      </c>
    </row>
    <row r="21" spans="2:6" ht="12.75">
      <c r="B21" s="10" t="s">
        <v>188</v>
      </c>
      <c r="F21" t="s">
        <v>189</v>
      </c>
    </row>
    <row r="22" ht="15">
      <c r="B22" s="10" t="s">
        <v>190</v>
      </c>
    </row>
    <row r="23" ht="12.75">
      <c r="B23" s="10"/>
    </row>
    <row r="25" ht="12.75">
      <c r="A25" t="s">
        <v>191</v>
      </c>
    </row>
    <row r="26" spans="2:11" ht="15">
      <c r="B26" s="60" t="s">
        <v>192</v>
      </c>
      <c r="I26" t="s">
        <v>193</v>
      </c>
      <c r="K26">
        <v>1139275</v>
      </c>
    </row>
    <row r="27" ht="12.75">
      <c r="B27" t="s">
        <v>194</v>
      </c>
    </row>
    <row r="28" spans="2:3" ht="12.75">
      <c r="B28" t="s">
        <v>195</v>
      </c>
      <c r="C28">
        <v>619116</v>
      </c>
    </row>
    <row r="29" spans="2:3" ht="12.75">
      <c r="B29" t="s">
        <v>196</v>
      </c>
      <c r="C29">
        <v>444650</v>
      </c>
    </row>
    <row r="30" spans="2:3" ht="12.75">
      <c r="B30" t="s">
        <v>197</v>
      </c>
      <c r="C30">
        <v>100470</v>
      </c>
    </row>
    <row r="31" spans="2:3" ht="12.75">
      <c r="B31" t="s">
        <v>198</v>
      </c>
      <c r="C31">
        <v>144498</v>
      </c>
    </row>
    <row r="36" spans="2:6" ht="12.75">
      <c r="B36" s="10" t="s">
        <v>199</v>
      </c>
      <c r="F36" t="s">
        <v>200</v>
      </c>
    </row>
    <row r="37" ht="12.75">
      <c r="B37" s="10" t="s">
        <v>201</v>
      </c>
    </row>
    <row r="38" ht="12.75">
      <c r="B38" s="10" t="s">
        <v>202</v>
      </c>
    </row>
    <row r="42" ht="12.75">
      <c r="B42" s="17" t="s">
        <v>203</v>
      </c>
    </row>
    <row r="43" spans="2:3" ht="12.75">
      <c r="B43" t="s">
        <v>204</v>
      </c>
      <c r="C43" t="s">
        <v>205</v>
      </c>
    </row>
    <row r="46" spans="6:7" ht="12.75">
      <c r="F46" t="s">
        <v>206</v>
      </c>
      <c r="G46" t="s">
        <v>207</v>
      </c>
    </row>
    <row r="47" spans="9:11" ht="12.75">
      <c r="I47" t="s">
        <v>208</v>
      </c>
      <c r="J47" t="s">
        <v>209</v>
      </c>
      <c r="K47" t="s">
        <v>210</v>
      </c>
    </row>
    <row r="48" spans="6:11" ht="12.75">
      <c r="F48">
        <v>1</v>
      </c>
      <c r="G48" s="61">
        <v>0.055</v>
      </c>
      <c r="H48">
        <v>100000</v>
      </c>
      <c r="I48" s="6">
        <f>H48/10</f>
        <v>10000</v>
      </c>
      <c r="J48" s="6">
        <f>H48*G48</f>
        <v>5500</v>
      </c>
      <c r="K48" s="6">
        <f>I48-J48</f>
        <v>4500</v>
      </c>
    </row>
    <row r="49" spans="6:11" ht="12.75">
      <c r="F49">
        <v>2</v>
      </c>
      <c r="G49" s="61">
        <v>0.055</v>
      </c>
      <c r="H49" s="6">
        <f>H48-K48</f>
        <v>95500</v>
      </c>
      <c r="I49">
        <v>10000</v>
      </c>
      <c r="J49" s="6">
        <f>H49*G49</f>
        <v>5252.5</v>
      </c>
      <c r="K49" s="6">
        <f>I49-J49</f>
        <v>4747.5</v>
      </c>
    </row>
    <row r="50" spans="6:11" ht="12.75">
      <c r="F50">
        <v>3</v>
      </c>
      <c r="G50" s="61">
        <v>0.055</v>
      </c>
      <c r="H50" s="6">
        <f>H49-K49</f>
        <v>90752.5</v>
      </c>
      <c r="I50">
        <v>10000</v>
      </c>
      <c r="J50" s="3">
        <f>H50*G50</f>
        <v>4991.3875</v>
      </c>
      <c r="K50" s="3">
        <f>I50-J50</f>
        <v>5008.6125</v>
      </c>
    </row>
    <row r="51" spans="6:11" ht="12.75">
      <c r="F51">
        <v>4</v>
      </c>
      <c r="G51" s="61">
        <v>0.055</v>
      </c>
      <c r="H51" s="3">
        <f>H50-K50</f>
        <v>85743.8875</v>
      </c>
      <c r="I51">
        <v>10000</v>
      </c>
      <c r="J51" s="3">
        <f>H51*G51</f>
        <v>4715.9138125</v>
      </c>
      <c r="K51" s="3">
        <f>I51-J51</f>
        <v>5284.0861875</v>
      </c>
    </row>
    <row r="52" spans="6:11" ht="12.75">
      <c r="F52">
        <v>5</v>
      </c>
      <c r="G52" s="61">
        <v>0.055</v>
      </c>
      <c r="H52" s="3">
        <f>H51-K51</f>
        <v>80459.8013125</v>
      </c>
      <c r="I52">
        <v>10000</v>
      </c>
      <c r="J52" s="3">
        <f>H52*G52</f>
        <v>4425.2890721875</v>
      </c>
      <c r="K52" s="3">
        <f>I52-J52</f>
        <v>5574.7109278125</v>
      </c>
    </row>
    <row r="53" spans="6:11" ht="12.75">
      <c r="F53">
        <v>6</v>
      </c>
      <c r="G53" s="61">
        <v>0.055</v>
      </c>
      <c r="H53" s="3">
        <f>H52-K52</f>
        <v>74885.0903846875</v>
      </c>
      <c r="I53">
        <v>10000</v>
      </c>
      <c r="J53" s="3">
        <f>H53*G53</f>
        <v>4118.679971157812</v>
      </c>
      <c r="K53" s="3">
        <f>I53-J53</f>
        <v>5881.320028842188</v>
      </c>
    </row>
    <row r="54" spans="6:11" ht="12.75">
      <c r="F54">
        <v>7</v>
      </c>
      <c r="G54" s="61">
        <v>0.055</v>
      </c>
      <c r="H54" s="3">
        <f>H53-K53</f>
        <v>69003.7703558453</v>
      </c>
      <c r="I54">
        <v>10000</v>
      </c>
      <c r="J54" s="3">
        <f>H54*G54</f>
        <v>3795.207369571492</v>
      </c>
      <c r="K54" s="3">
        <f>I54-J54</f>
        <v>6204.792630428508</v>
      </c>
    </row>
    <row r="55" spans="6:11" ht="12.75">
      <c r="F55">
        <v>8</v>
      </c>
      <c r="G55" s="61">
        <v>0.055</v>
      </c>
      <c r="H55" s="3">
        <f>H54-K54</f>
        <v>62798.9777254168</v>
      </c>
      <c r="I55">
        <v>10000</v>
      </c>
      <c r="J55" s="3">
        <f>H55*G55</f>
        <v>3453.943774897924</v>
      </c>
      <c r="K55" s="3">
        <f>I55-J55</f>
        <v>6546.0562251020765</v>
      </c>
    </row>
    <row r="56" spans="6:11" ht="12.75">
      <c r="F56">
        <v>9</v>
      </c>
      <c r="G56" s="61">
        <v>0.055</v>
      </c>
      <c r="H56" s="3">
        <f>H55-K55</f>
        <v>56252.921500314726</v>
      </c>
      <c r="I56">
        <v>10000</v>
      </c>
      <c r="J56" s="3">
        <f>H56*G56</f>
        <v>3093.91068251731</v>
      </c>
      <c r="K56" s="3">
        <f>I56-J56</f>
        <v>6906.089317482691</v>
      </c>
    </row>
    <row r="57" spans="6:11" ht="12.75">
      <c r="F57">
        <v>10</v>
      </c>
      <c r="G57" s="61">
        <v>0.055</v>
      </c>
      <c r="H57" s="3">
        <f>H56-K56</f>
        <v>49346.83218283203</v>
      </c>
      <c r="I57">
        <v>10000</v>
      </c>
      <c r="J57" s="3">
        <f>H57*G57</f>
        <v>2714.075770055762</v>
      </c>
      <c r="K57" s="3">
        <f>I57-J57</f>
        <v>7285.924229944238</v>
      </c>
    </row>
    <row r="58" spans="6:11" ht="12.75">
      <c r="F58">
        <v>11</v>
      </c>
      <c r="G58" s="61">
        <v>0.055</v>
      </c>
      <c r="H58" s="3">
        <f>H57-K57</f>
        <v>42060.90795288779</v>
      </c>
      <c r="I58">
        <v>10000</v>
      </c>
      <c r="J58" s="3">
        <f>H58*G58</f>
        <v>2313.3499374088287</v>
      </c>
      <c r="K58" s="3">
        <f>I58-J58</f>
        <v>7686.650062591171</v>
      </c>
    </row>
    <row r="59" spans="6:11" ht="12.75">
      <c r="F59">
        <v>12</v>
      </c>
      <c r="G59" s="61">
        <v>0.055</v>
      </c>
      <c r="H59" s="3">
        <f>H58-K58</f>
        <v>34374.25789029662</v>
      </c>
      <c r="I59">
        <v>10000</v>
      </c>
      <c r="J59" s="3">
        <f>H59*G59</f>
        <v>1890.5841839663142</v>
      </c>
      <c r="K59" s="3">
        <f>I59-J59</f>
        <v>8109.415816033686</v>
      </c>
    </row>
    <row r="60" spans="6:11" ht="12.75">
      <c r="F60">
        <v>13</v>
      </c>
      <c r="G60" s="61">
        <v>0.055</v>
      </c>
      <c r="H60" s="3">
        <f>H59-K59</f>
        <v>26264.842074262935</v>
      </c>
      <c r="I60">
        <v>10000</v>
      </c>
      <c r="J60" s="3">
        <f>H60*G60</f>
        <v>1444.5663140844615</v>
      </c>
      <c r="K60" s="3">
        <f>I60-J60</f>
        <v>8555.43368591554</v>
      </c>
    </row>
    <row r="61" spans="6:11" ht="12.75">
      <c r="F61">
        <v>14</v>
      </c>
      <c r="G61" s="61">
        <v>0.055</v>
      </c>
      <c r="H61" s="3">
        <f>H60-K60</f>
        <v>17709.408388347394</v>
      </c>
      <c r="I61">
        <v>10000</v>
      </c>
      <c r="J61" s="3">
        <f>H61*G61</f>
        <v>974.0174613591067</v>
      </c>
      <c r="K61" s="3">
        <f>I61-J61</f>
        <v>9025.982538640894</v>
      </c>
    </row>
    <row r="62" spans="6:11" ht="12.75">
      <c r="F62">
        <v>15</v>
      </c>
      <c r="G62" s="61">
        <v>0.055</v>
      </c>
      <c r="H62" s="3">
        <f>H61-K61</f>
        <v>8683.4258497065</v>
      </c>
      <c r="I62">
        <v>10000</v>
      </c>
      <c r="J62" s="3">
        <f>H62*G62</f>
        <v>477.5884217338575</v>
      </c>
      <c r="K62" s="3">
        <f>I62-J62</f>
        <v>9522.411578266143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 til GES projektudvikling</dc:title>
  <dc:subject/>
  <dc:creator/>
  <cp:keywords/>
  <dc:description/>
  <cp:lastModifiedBy/>
  <dcterms:created xsi:type="dcterms:W3CDTF">2010-05-09T22:02:51Z</dcterms:created>
  <cp:category/>
  <cp:version/>
  <cp:contentType/>
  <cp:contentStatus/>
  <cp:revision>1</cp:revision>
</cp:coreProperties>
</file>